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8075" windowHeight="9480" tabRatio="746" activeTab="0"/>
  </bookViews>
  <sheets>
    <sheet name="Gravity" sheetId="1" r:id="rId1"/>
    <sheet name="Bullard B Table" sheetId="2" r:id="rId2"/>
    <sheet name="Calib. Table" sheetId="3" r:id="rId3"/>
    <sheet name="Absolute Base" sheetId="4" r:id="rId4"/>
    <sheet name="Meters" sheetId="5" r:id="rId5"/>
  </sheets>
  <definedNames>
    <definedName name="calibrator" localSheetId="2">'Calib. Table'!$A$5:$C$75</definedName>
    <definedName name="counter" localSheetId="0">'Gravity'!$O$3:$O$154</definedName>
    <definedName name="counter_1" localSheetId="0">'Gravity'!$O$3:$O$34</definedName>
    <definedName name="counter_2" localSheetId="0">'Gravity'!$O$3:$O$34</definedName>
    <definedName name="elliphgt" localSheetId="0">'Gravity'!$N$3:$N$154</definedName>
    <definedName name="elliphgt_1" localSheetId="0">'Gravity'!$N$3:$N$34</definedName>
    <definedName name="elliphgt_2" localSheetId="0">'Gravity'!$N$3:$N$34</definedName>
    <definedName name="ka" localSheetId="0">'Gravity'!$AR$4:$AX$19</definedName>
    <definedName name="kamiak" localSheetId="0">'Gravity'!$AR$4:$AX$149</definedName>
    <definedName name="latlong" localSheetId="0">'Gravity'!$F$3:$K$154</definedName>
    <definedName name="latlong_1" localSheetId="0">'Gravity'!$F$3:$K$34</definedName>
    <definedName name="latlong_2" localSheetId="0">'Gravity'!$F$3:$K$34</definedName>
    <definedName name="measuredandtide_1" localSheetId="0">'Gravity'!$Q$3:$V$34</definedName>
    <definedName name="out" localSheetId="0">'Gravity'!$AJ$2:$AP$31</definedName>
    <definedName name="solver_adj" localSheetId="0" hidden="1">'Gravity'!$AS$8:$AS$9,'Gravity'!$AS$11:$AS$12,'Gravity'!$AS$14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'Gravity'!$AS$8:$AS$9</definedName>
    <definedName name="solver_lhs2" localSheetId="0" hidden="1">'Gravity'!$AS$11:$AS$12</definedName>
    <definedName name="solver_lhs3" localSheetId="0" hidden="1">'Gravity'!$AS$14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'Gravity'!$AS$17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9</definedName>
    <definedName name="solver_rhs2" localSheetId="0" hidden="1">9</definedName>
    <definedName name="solver_rhs3" localSheetId="0" hidden="1">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45</definedName>
    <definedName name="terrain_1" localSheetId="0">'Gravity'!#REF!</definedName>
    <definedName name="terrain_2" localSheetId="0">'Gravity'!$AE$3:$AE$34</definedName>
    <definedName name="terrain_3" localSheetId="0">'Gravity'!$AE$3:$AE$34</definedName>
    <definedName name="time" localSheetId="0">'Gravity'!$C$3:$D$154</definedName>
    <definedName name="time_1" localSheetId="0">'Gravity'!$C$3:$D$34</definedName>
    <definedName name="time_2" localSheetId="0">'Gravity'!$C$3:$D$34</definedName>
  </definedNames>
  <calcPr fullCalcOnLoad="1"/>
</workbook>
</file>

<file path=xl/comments1.xml><?xml version="1.0" encoding="utf-8"?>
<comments xmlns="http://schemas.openxmlformats.org/spreadsheetml/2006/main">
  <authors>
    <author>Derek Holom</author>
  </authors>
  <commentList>
    <comment ref="S1" authorId="0">
      <text>
        <r>
          <rPr>
            <b/>
            <sz val="8"/>
            <rFont val="Tahoma"/>
            <family val="0"/>
          </rPr>
          <t>Derek Holom:</t>
        </r>
        <r>
          <rPr>
            <sz val="8"/>
            <rFont val="Tahoma"/>
            <family val="0"/>
          </rPr>
          <t xml:space="preserve">
Enter meter-specific constant in this cell.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Derek Holom:
</t>
        </r>
        <r>
          <rPr>
            <sz val="8"/>
            <rFont val="Tahoma"/>
            <family val="2"/>
          </rPr>
          <t>LCD reading for digital L &amp; R meters.</t>
        </r>
      </text>
    </comment>
  </commentList>
</comments>
</file>

<file path=xl/sharedStrings.xml><?xml version="1.0" encoding="utf-8"?>
<sst xmlns="http://schemas.openxmlformats.org/spreadsheetml/2006/main" count="145" uniqueCount="136">
  <si>
    <t>Absolute Base Station Information</t>
  </si>
  <si>
    <t>Date</t>
  </si>
  <si>
    <t>Time</t>
  </si>
  <si>
    <t>Counter</t>
  </si>
  <si>
    <t>Final Reading</t>
  </si>
  <si>
    <t>Latitude</t>
  </si>
  <si>
    <t>Longitude</t>
  </si>
  <si>
    <t>Hours</t>
  </si>
  <si>
    <t>Minutes</t>
  </si>
  <si>
    <t>Duration</t>
  </si>
  <si>
    <t>d</t>
  </si>
  <si>
    <t>m</t>
  </si>
  <si>
    <t>s</t>
  </si>
  <si>
    <t>Lat</t>
  </si>
  <si>
    <t>Long</t>
  </si>
  <si>
    <t>DD</t>
  </si>
  <si>
    <t>Calibration Table</t>
  </si>
  <si>
    <t>Factor Interval</t>
  </si>
  <si>
    <t>Height (m)</t>
  </si>
  <si>
    <t>mgals</t>
  </si>
  <si>
    <t>Bullard B Table</t>
  </si>
  <si>
    <t>Cumulative</t>
  </si>
  <si>
    <t>Gravity Station</t>
  </si>
  <si>
    <t>Gravity Meter Readings</t>
  </si>
  <si>
    <t>Absolute Gravity (mgals)</t>
  </si>
  <si>
    <t>* Optional information</t>
  </si>
  <si>
    <t>Theoretical Gravity (mGals)</t>
  </si>
  <si>
    <t>Height Correction (mGals)</t>
  </si>
  <si>
    <t>Complete Bouguer Anomaly (mGals)</t>
  </si>
  <si>
    <t>Worden Meter Constant:</t>
  </si>
  <si>
    <t>LaCoste &amp; Romberg</t>
  </si>
  <si>
    <t>Worden</t>
  </si>
  <si>
    <t>Scintrex</t>
  </si>
  <si>
    <t>Selected meter #:</t>
  </si>
  <si>
    <t>#</t>
  </si>
  <si>
    <t>Gravity meters</t>
  </si>
  <si>
    <t>Tide (mGals)</t>
  </si>
  <si>
    <t>Tide Corrected (mGals)</t>
  </si>
  <si>
    <t>Meter Drift (mGals)</t>
  </si>
  <si>
    <t>Drift &amp; Tide Corrected (mGals)</t>
  </si>
  <si>
    <t>DC Shift (mGals)</t>
  </si>
  <si>
    <t>Bouguer Spherical Cap (mGals)</t>
  </si>
  <si>
    <t>Terrain Correction (mGals)</t>
  </si>
  <si>
    <t>Measured (mGals)</t>
  </si>
  <si>
    <t>Calibrated (mGals)</t>
  </si>
  <si>
    <t>Counter (Dial Reading)</t>
  </si>
  <si>
    <t>Example</t>
  </si>
  <si>
    <t>BASE01</t>
  </si>
  <si>
    <t>BASE02</t>
  </si>
  <si>
    <t>BASE03</t>
  </si>
  <si>
    <t>BASE04</t>
  </si>
  <si>
    <t>BASE05</t>
  </si>
  <si>
    <t>BASE06</t>
  </si>
  <si>
    <t>Ellipsoidal Height (m)</t>
  </si>
  <si>
    <t>Scintrex Meter</t>
  </si>
  <si>
    <t>Example 001</t>
  </si>
  <si>
    <t>Example 002</t>
  </si>
  <si>
    <t>Example 003</t>
  </si>
  <si>
    <t>Example 004</t>
  </si>
  <si>
    <t>Example 005</t>
  </si>
  <si>
    <t>Example 006</t>
  </si>
  <si>
    <t>Example 007</t>
  </si>
  <si>
    <t>Example 008</t>
  </si>
  <si>
    <t>Example 009</t>
  </si>
  <si>
    <t>Example 010</t>
  </si>
  <si>
    <t>Example 011</t>
  </si>
  <si>
    <t>Example 012</t>
  </si>
  <si>
    <t>Example 013</t>
  </si>
  <si>
    <t>Example 014</t>
  </si>
  <si>
    <t>Example 015</t>
  </si>
  <si>
    <t>Example 016</t>
  </si>
  <si>
    <t>Example 017</t>
  </si>
  <si>
    <t>Example 018</t>
  </si>
  <si>
    <t>Example 019</t>
  </si>
  <si>
    <t>Example 020</t>
  </si>
  <si>
    <t>Example 021</t>
  </si>
  <si>
    <t>Example 022</t>
  </si>
  <si>
    <t>Example 023</t>
  </si>
  <si>
    <t>Example 024</t>
  </si>
  <si>
    <t>Example 025</t>
  </si>
  <si>
    <t>Example 026</t>
  </si>
  <si>
    <t>Example 027</t>
  </si>
  <si>
    <t>Example 028</t>
  </si>
  <si>
    <t>Example 029</t>
  </si>
  <si>
    <t>Example 030</t>
  </si>
  <si>
    <t>Example 031</t>
  </si>
  <si>
    <t>Example 032</t>
  </si>
  <si>
    <t>Example 033</t>
  </si>
  <si>
    <t>Example 034</t>
  </si>
  <si>
    <t>Example 035</t>
  </si>
  <si>
    <t>Example 036</t>
  </si>
  <si>
    <t>Example 037</t>
  </si>
  <si>
    <t>Example 038</t>
  </si>
  <si>
    <t>Example 039</t>
  </si>
  <si>
    <t>Example 040</t>
  </si>
  <si>
    <t>Example 041</t>
  </si>
  <si>
    <t>Example 042</t>
  </si>
  <si>
    <t>Example 043</t>
  </si>
  <si>
    <t>Example 044</t>
  </si>
  <si>
    <t>Example 045</t>
  </si>
  <si>
    <t>Example 046</t>
  </si>
  <si>
    <t>Example 047</t>
  </si>
  <si>
    <t>Example 048</t>
  </si>
  <si>
    <t>Example 049</t>
  </si>
  <si>
    <t>Example 050</t>
  </si>
  <si>
    <t>Example 051</t>
  </si>
  <si>
    <t>Example 052</t>
  </si>
  <si>
    <t>Example 053</t>
  </si>
  <si>
    <t>Example 054</t>
  </si>
  <si>
    <t>Example 055</t>
  </si>
  <si>
    <t>Example 056</t>
  </si>
  <si>
    <t>Example 057</t>
  </si>
  <si>
    <t>Example 058</t>
  </si>
  <si>
    <t>Example 059</t>
  </si>
  <si>
    <t>Example 060</t>
  </si>
  <si>
    <t>Example 061</t>
  </si>
  <si>
    <t>Example 062</t>
  </si>
  <si>
    <t xml:space="preserve"> Raw Observed Gravity (mGals)</t>
  </si>
  <si>
    <t>Atm Effect (mGals)</t>
  </si>
  <si>
    <t>Observed Absolute Gravity (mGals)</t>
  </si>
  <si>
    <t>LaCoste-Romberg Meter</t>
  </si>
  <si>
    <t>Station Name*</t>
  </si>
  <si>
    <t>Longitude*</t>
  </si>
  <si>
    <t>Ellipsoidal elevation (m)*</t>
  </si>
  <si>
    <t>Date*</t>
  </si>
  <si>
    <t>Time*</t>
  </si>
  <si>
    <r>
      <t>Counter</t>
    </r>
    <r>
      <rPr>
        <vertAlign val="superscript"/>
        <sz val="10"/>
        <rFont val="Arial"/>
        <family val="2"/>
      </rPr>
      <t>1</t>
    </r>
  </si>
  <si>
    <r>
      <t>Converted</t>
    </r>
    <r>
      <rPr>
        <vertAlign val="superscript"/>
        <sz val="10"/>
        <rFont val="Arial"/>
        <family val="2"/>
      </rPr>
      <t>1</t>
    </r>
  </si>
  <si>
    <r>
      <t>Measured gravity (mGals)</t>
    </r>
    <r>
      <rPr>
        <vertAlign val="superscript"/>
        <sz val="10"/>
        <rFont val="Arial"/>
        <family val="2"/>
      </rPr>
      <t>1,2,3</t>
    </r>
  </si>
  <si>
    <r>
      <t>Tide</t>
    </r>
    <r>
      <rPr>
        <vertAlign val="superscript"/>
        <sz val="10"/>
        <rFont val="Arial"/>
        <family val="2"/>
      </rPr>
      <t>1,2</t>
    </r>
  </si>
  <si>
    <r>
      <t>DC Shift</t>
    </r>
    <r>
      <rPr>
        <vertAlign val="superscript"/>
        <sz val="10"/>
        <rFont val="Arial"/>
        <family val="2"/>
      </rPr>
      <t>1,2,3</t>
    </r>
  </si>
  <si>
    <r>
      <t>Drift</t>
    </r>
    <r>
      <rPr>
        <vertAlign val="superscript"/>
        <sz val="10"/>
        <rFont val="Arial"/>
        <family val="2"/>
      </rPr>
      <t>1,2</t>
    </r>
  </si>
  <si>
    <t>Notes</t>
  </si>
  <si>
    <r>
      <t>1</t>
    </r>
    <r>
      <rPr>
        <sz val="10"/>
        <rFont val="Arial"/>
        <family val="0"/>
      </rPr>
      <t xml:space="preserve"> Required for LaCoste-Romberg gravimeter data</t>
    </r>
  </si>
  <si>
    <r>
      <t>2</t>
    </r>
    <r>
      <rPr>
        <sz val="10"/>
        <rFont val="Arial"/>
        <family val="0"/>
      </rPr>
      <t xml:space="preserve"> Required for Worden gravimeter data</t>
    </r>
  </si>
  <si>
    <r>
      <t>3</t>
    </r>
    <r>
      <rPr>
        <sz val="10"/>
        <rFont val="Arial"/>
        <family val="0"/>
      </rPr>
      <t xml:space="preserve"> Required for Scintrex gravimeter data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</si>
</sst>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00"/>
    <numFmt numFmtId="175" formatCode="0.000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E+00"/>
    <numFmt numFmtId="189" formatCode="0.000E+00"/>
    <numFmt numFmtId="190" formatCode="0.0E+00"/>
    <numFmt numFmtId="191" formatCode="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00000000"/>
    <numFmt numFmtId="205" formatCode="0.00000000000000000000000"/>
    <numFmt numFmtId="206" formatCode="0.000000000000000000000000"/>
    <numFmt numFmtId="207" formatCode="0.000000000E+00"/>
    <numFmt numFmtId="208" formatCode="0.0000000000E+00"/>
    <numFmt numFmtId="209" formatCode="0.00000000000E+00"/>
    <numFmt numFmtId="210" formatCode="0.000000000000E+00"/>
    <numFmt numFmtId="211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6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175" fontId="0" fillId="0" borderId="0" xfId="0" applyNumberFormat="1" applyFill="1" applyBorder="1" applyAlignment="1">
      <alignment/>
    </xf>
    <xf numFmtId="0" fontId="0" fillId="0" borderId="5" xfId="0" applyBorder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/>
      <protection locked="0"/>
    </xf>
    <xf numFmtId="14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75" fontId="0" fillId="4" borderId="0" xfId="0" applyNumberFormat="1" applyFill="1" applyBorder="1" applyAlignment="1">
      <alignment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1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left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74" fontId="0" fillId="4" borderId="0" xfId="0" applyNumberFormat="1" applyFill="1" applyBorder="1" applyAlignment="1" applyProtection="1">
      <alignment/>
      <protection locked="0"/>
    </xf>
    <xf numFmtId="175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2" fontId="0" fillId="4" borderId="0" xfId="0" applyNumberFormat="1" applyFill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175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 vertical="center" wrapText="1" shrinkToFit="1"/>
    </xf>
    <xf numFmtId="0" fontId="4" fillId="5" borderId="20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</cellXfs>
  <cellStyles count="17">
    <cellStyle name="Normal" xfId="0"/>
    <cellStyle name="_Gravity" xfId="16"/>
    <cellStyle name="_Gravity Data" xfId="17"/>
    <cellStyle name="_Line 1" xfId="18"/>
    <cellStyle name="_Line 2" xfId="19"/>
    <cellStyle name="_Line 3" xfId="20"/>
    <cellStyle name="_NS Line" xfId="21"/>
    <cellStyle name="_Regional Trend" xfId="22"/>
    <cellStyle name="_UTM" xfId="23"/>
    <cellStyle name="_XY Points" xfId="24"/>
    <cellStyle name="Comma" xfId="25"/>
    <cellStyle name="Comma [0]" xfId="26"/>
    <cellStyle name="Currency" xfId="27"/>
    <cellStyle name="Currency [0]" xfId="28"/>
    <cellStyle name="Followed Hyperlink" xfId="29"/>
    <cellStyle name="Hyperlink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V160"/>
  <sheetViews>
    <sheetView tabSelected="1" zoomScale="85" zoomScaleNormal="85" workbookViewId="0" topLeftCell="A1">
      <pane ySplit="2" topLeftCell="BM3" activePane="bottomLeft" state="frozen"/>
      <selection pane="topLeft" activeCell="M1" sqref="M1"/>
      <selection pane="bottomLeft" activeCell="A1" sqref="A1:A2"/>
    </sheetView>
  </sheetViews>
  <sheetFormatPr defaultColWidth="9.140625" defaultRowHeight="12.75"/>
  <cols>
    <col min="1" max="1" width="14.28125" style="5" customWidth="1"/>
    <col min="2" max="2" width="11.00390625" style="11" customWidth="1"/>
    <col min="3" max="3" width="7.421875" style="5" customWidth="1"/>
    <col min="4" max="4" width="8.00390625" style="5" customWidth="1"/>
    <col min="5" max="5" width="9.140625" style="5" customWidth="1"/>
    <col min="6" max="6" width="6.8515625" style="5" customWidth="1"/>
    <col min="7" max="7" width="7.28125" style="5" customWidth="1"/>
    <col min="8" max="8" width="9.140625" style="5" customWidth="1"/>
    <col min="9" max="9" width="7.00390625" style="5" customWidth="1"/>
    <col min="10" max="10" width="7.57421875" style="5" customWidth="1"/>
    <col min="11" max="12" width="9.140625" style="5" customWidth="1"/>
    <col min="13" max="13" width="12.8515625" style="5" customWidth="1"/>
    <col min="14" max="14" width="13.8515625" style="5" customWidth="1"/>
    <col min="15" max="15" width="9.140625" style="5" customWidth="1"/>
    <col min="16" max="16" width="12.8515625" style="5" customWidth="1"/>
    <col min="17" max="17" width="11.57421875" style="5" customWidth="1"/>
    <col min="18" max="18" width="22.7109375" style="9" customWidth="1"/>
    <col min="19" max="19" width="10.7109375" style="5" customWidth="1"/>
    <col min="20" max="20" width="17.140625" style="5" customWidth="1"/>
    <col min="21" max="21" width="25.7109375" style="5" customWidth="1"/>
    <col min="22" max="22" width="9.140625" style="5" customWidth="1"/>
    <col min="23" max="23" width="11.140625" style="5" customWidth="1"/>
    <col min="24" max="24" width="10.421875" style="5" customWidth="1"/>
    <col min="25" max="25" width="11.00390625" style="5" customWidth="1"/>
    <col min="26" max="26" width="10.7109375" style="5" customWidth="1"/>
    <col min="27" max="27" width="16.28125" style="5" customWidth="1"/>
    <col min="28" max="28" width="15.00390625" style="5" customWidth="1"/>
    <col min="29" max="29" width="10.28125" style="5" customWidth="1"/>
    <col min="30" max="30" width="13.00390625" style="5" customWidth="1"/>
    <col min="31" max="31" width="11.140625" style="5" customWidth="1"/>
    <col min="32" max="32" width="14.7109375" style="5" customWidth="1"/>
    <col min="33" max="33" width="16.57421875" style="9" customWidth="1"/>
    <col min="34" max="34" width="9.140625" style="14" customWidth="1"/>
    <col min="35" max="35" width="9.140625" style="62" customWidth="1"/>
    <col min="36" max="36" width="8.28125" style="62" customWidth="1"/>
    <col min="37" max="37" width="9.28125" style="62" customWidth="1"/>
    <col min="38" max="38" width="7.00390625" style="62" bestFit="1" customWidth="1"/>
    <col min="39" max="39" width="9.421875" style="62" customWidth="1"/>
    <col min="40" max="40" width="6.8515625" style="62" customWidth="1"/>
    <col min="41" max="41" width="5.00390625" style="62" bestFit="1" customWidth="1"/>
    <col min="42" max="42" width="7.57421875" style="62" bestFit="1" customWidth="1"/>
    <col min="43" max="43" width="6.28125" style="62" customWidth="1"/>
    <col min="44" max="45" width="3.140625" style="62" customWidth="1"/>
    <col min="46" max="46" width="9.28125" style="62" bestFit="1" customWidth="1"/>
    <col min="47" max="47" width="4.140625" style="62" customWidth="1"/>
    <col min="48" max="48" width="3.140625" style="62" customWidth="1"/>
    <col min="49" max="49" width="9.28125" style="62" bestFit="1" customWidth="1"/>
    <col min="50" max="50" width="7.8515625" style="62" customWidth="1"/>
    <col min="51" max="16384" width="9.140625" style="62" customWidth="1"/>
  </cols>
  <sheetData>
    <row r="1" spans="1:33" s="5" customFormat="1" ht="30" customHeight="1" thickBot="1">
      <c r="A1" s="71" t="s">
        <v>22</v>
      </c>
      <c r="B1" s="73" t="s">
        <v>1</v>
      </c>
      <c r="C1" s="75" t="s">
        <v>2</v>
      </c>
      <c r="D1" s="75"/>
      <c r="E1" s="19" t="s">
        <v>9</v>
      </c>
      <c r="F1" s="75" t="s">
        <v>5</v>
      </c>
      <c r="G1" s="75"/>
      <c r="H1" s="75"/>
      <c r="I1" s="75" t="s">
        <v>6</v>
      </c>
      <c r="J1" s="75"/>
      <c r="K1" s="75"/>
      <c r="L1" s="19" t="s">
        <v>13</v>
      </c>
      <c r="M1" s="19" t="s">
        <v>14</v>
      </c>
      <c r="N1" s="80" t="s">
        <v>53</v>
      </c>
      <c r="O1" s="76" t="s">
        <v>120</v>
      </c>
      <c r="P1" s="77"/>
      <c r="Q1" s="78"/>
      <c r="R1" s="36" t="s">
        <v>29</v>
      </c>
      <c r="S1" s="37"/>
      <c r="T1" s="36" t="s">
        <v>54</v>
      </c>
      <c r="U1" s="35" t="s">
        <v>117</v>
      </c>
      <c r="V1" s="71" t="s">
        <v>36</v>
      </c>
      <c r="W1" s="71" t="s">
        <v>37</v>
      </c>
      <c r="X1" s="71" t="s">
        <v>38</v>
      </c>
      <c r="Y1" s="71" t="s">
        <v>39</v>
      </c>
      <c r="Z1" s="71" t="s">
        <v>40</v>
      </c>
      <c r="AA1" s="71" t="s">
        <v>26</v>
      </c>
      <c r="AB1" s="71" t="s">
        <v>27</v>
      </c>
      <c r="AC1" s="71" t="s">
        <v>118</v>
      </c>
      <c r="AD1" s="71" t="s">
        <v>41</v>
      </c>
      <c r="AE1" s="71" t="s">
        <v>42</v>
      </c>
      <c r="AF1" s="71" t="s">
        <v>119</v>
      </c>
      <c r="AG1" s="79" t="s">
        <v>28</v>
      </c>
    </row>
    <row r="2" spans="1:42" s="5" customFormat="1" ht="30" customHeight="1">
      <c r="A2" s="72"/>
      <c r="B2" s="74"/>
      <c r="C2" s="45" t="s">
        <v>7</v>
      </c>
      <c r="D2" s="45" t="s">
        <v>8</v>
      </c>
      <c r="E2" s="45" t="s">
        <v>7</v>
      </c>
      <c r="F2" s="45" t="s">
        <v>10</v>
      </c>
      <c r="G2" s="45" t="s">
        <v>11</v>
      </c>
      <c r="H2" s="45" t="s">
        <v>12</v>
      </c>
      <c r="I2" s="45" t="s">
        <v>10</v>
      </c>
      <c r="J2" s="45" t="s">
        <v>11</v>
      </c>
      <c r="K2" s="45" t="s">
        <v>12</v>
      </c>
      <c r="L2" s="45" t="s">
        <v>15</v>
      </c>
      <c r="M2" s="45" t="s">
        <v>15</v>
      </c>
      <c r="N2" s="81"/>
      <c r="O2" s="46" t="s">
        <v>3</v>
      </c>
      <c r="P2" s="44" t="s">
        <v>44</v>
      </c>
      <c r="Q2" s="47" t="s">
        <v>43</v>
      </c>
      <c r="R2" s="46" t="s">
        <v>45</v>
      </c>
      <c r="S2" s="48" t="s">
        <v>44</v>
      </c>
      <c r="T2" s="46" t="s">
        <v>39</v>
      </c>
      <c r="U2" s="38"/>
      <c r="V2" s="72"/>
      <c r="W2" s="72"/>
      <c r="X2" s="72"/>
      <c r="Y2" s="72"/>
      <c r="Z2" s="72"/>
      <c r="AA2" s="72"/>
      <c r="AB2" s="72"/>
      <c r="AC2" s="71"/>
      <c r="AD2" s="72"/>
      <c r="AE2" s="72"/>
      <c r="AF2" s="71"/>
      <c r="AG2" s="80"/>
      <c r="AH2" s="12"/>
      <c r="AI2" s="12"/>
      <c r="AJ2" s="13"/>
      <c r="AK2" s="13"/>
      <c r="AL2" s="13"/>
      <c r="AM2" s="13"/>
      <c r="AN2" s="13"/>
      <c r="AO2" s="13"/>
      <c r="AP2" s="13"/>
    </row>
    <row r="3" spans="1:48" s="5" customFormat="1" ht="12.75">
      <c r="A3" s="42" t="s">
        <v>47</v>
      </c>
      <c r="B3" s="39">
        <v>38242</v>
      </c>
      <c r="C3" s="49">
        <v>7</v>
      </c>
      <c r="D3" s="50">
        <v>11</v>
      </c>
      <c r="E3" s="40">
        <f aca="true" t="shared" si="0" ref="E3:E34">((B3-$B$3)*24)+((C3+(D3/60))-($C$3+($D$3/60)))</f>
        <v>0</v>
      </c>
      <c r="F3" s="42">
        <v>46</v>
      </c>
      <c r="G3" s="42">
        <v>51</v>
      </c>
      <c r="H3" s="42">
        <v>32.41159</v>
      </c>
      <c r="I3" s="42">
        <v>117</v>
      </c>
      <c r="J3" s="42">
        <v>7</v>
      </c>
      <c r="K3" s="42">
        <v>56.68086</v>
      </c>
      <c r="L3" s="53">
        <f>F3+(G3/60)+(H3/3600)</f>
        <v>46.859003219444446</v>
      </c>
      <c r="M3" s="53">
        <f>-1*(I3+(J3/60)+(K3/3600))</f>
        <v>-117.13241135</v>
      </c>
      <c r="N3" s="43">
        <v>736.334</v>
      </c>
      <c r="O3" s="42">
        <v>4003.97</v>
      </c>
      <c r="P3" s="56">
        <f>(O3-VLOOKUP(O3,'Calib. Table'!$A$5:$C$75,1))*(VLOOKUP(O3,'Calib. Table'!$A$5:$C$75,3))+VLOOKUP(O3,'Calib. Table'!$A$5:$C$75,2)</f>
        <v>4097.7107189</v>
      </c>
      <c r="Q3" s="42">
        <v>24.677</v>
      </c>
      <c r="R3" s="57"/>
      <c r="S3" s="54"/>
      <c r="T3" s="54"/>
      <c r="U3" s="58">
        <f>IF(Meters!$D$1=1,P3+Q3,IF(Meters!D$1=2,S3,IF(Meters!$D$1=3,T3)))</f>
        <v>4122.3877188999995</v>
      </c>
      <c r="V3" s="42">
        <v>0.0005</v>
      </c>
      <c r="W3" s="56">
        <f>U3+V3</f>
        <v>4122.3882189</v>
      </c>
      <c r="X3" s="43">
        <f aca="true" t="shared" si="1" ref="X3:X34">(($W$3-$W$34)/$E$34)*E3</f>
        <v>0</v>
      </c>
      <c r="Y3" s="56">
        <f>IF(Meters!$D$1=3,T3,W3+X3)</f>
        <v>4122.3882189</v>
      </c>
      <c r="Z3" s="54">
        <f aca="true" t="shared" si="2" ref="Z3:Z34">$Y$34-$Y$3</f>
        <v>0</v>
      </c>
      <c r="AA3" s="54">
        <f>100000*9.7803267714*((1+0.00193185138639*(SIN(L3*(PI()/180)))^2)/(SQRT(1-0.00669437999013*(SIN(L3*(PI()/180)))^2)))</f>
        <v>980788.0875303483</v>
      </c>
      <c r="AB3" s="54">
        <f>-0.308769097*N3+0.000439773125*N3*((SIN(L3*(PI()/180)))^2)+0.0000000721251838*N3^2</f>
        <v>-227.14566972640597</v>
      </c>
      <c r="AC3" s="55">
        <f>ROUNDUP((0.874-0.000099*N3+0.00000000356*N3^2),2)</f>
        <v>0.81</v>
      </c>
      <c r="AD3" s="54">
        <f>(N3-VLOOKUP(N3,'Bullard B Table'!$A$4:$B$67,1))*((VLOOKUP(N3+100,'Bullard B Table'!$A$4:$B$67,2)-VLOOKUP(N3,'Bullard B Table'!$A$4:$B$67,2))/100)+VLOOKUP(N3,'Bullard B Table'!$A$4:$B$67,2)+2*(PI())*(0.00000000006673)*N3*2670*100000</f>
        <v>83.31613398900885</v>
      </c>
      <c r="AE3" s="43">
        <v>0.959</v>
      </c>
      <c r="AF3" s="56">
        <f>Y3-'Absolute Base'!$B$16+'Absolute Base'!$B$6+Z3</f>
        <v>980529.9164189</v>
      </c>
      <c r="AG3" s="66">
        <f>AF3-(AA3+AB3-AC3+AD3-AE3)</f>
        <v>-112.57257571083028</v>
      </c>
      <c r="AH3" s="17"/>
      <c r="AI3" s="12"/>
      <c r="AK3" s="13"/>
      <c r="AL3" s="13"/>
      <c r="AM3" s="13"/>
      <c r="AN3" s="13"/>
      <c r="AO3" s="13"/>
      <c r="AP3" s="13"/>
      <c r="AQ3" s="18"/>
      <c r="AR3" s="18"/>
      <c r="AS3" s="18"/>
      <c r="AT3" s="18"/>
      <c r="AU3" s="18"/>
      <c r="AV3" s="18"/>
    </row>
    <row r="4" spans="1:48" ht="12.75">
      <c r="A4" s="21" t="s">
        <v>55</v>
      </c>
      <c r="B4" s="22">
        <v>38242</v>
      </c>
      <c r="C4" s="23">
        <v>10</v>
      </c>
      <c r="D4" s="24">
        <v>11</v>
      </c>
      <c r="E4" s="41">
        <f t="shared" si="0"/>
        <v>3</v>
      </c>
      <c r="F4" s="21">
        <v>46</v>
      </c>
      <c r="G4" s="21">
        <v>51</v>
      </c>
      <c r="H4" s="21">
        <v>31.1687</v>
      </c>
      <c r="I4" s="21">
        <v>117</v>
      </c>
      <c r="J4" s="21">
        <v>4</v>
      </c>
      <c r="K4" s="21">
        <v>49.43534</v>
      </c>
      <c r="L4" s="15">
        <f aca="true" t="shared" si="3" ref="L4:L34">F4+(G4/60)+(H4/3600)</f>
        <v>46.858657972222225</v>
      </c>
      <c r="M4" s="15">
        <f aca="true" t="shared" si="4" ref="M4:M34">-1*(I4+(J4/60)+(K4/3600))</f>
        <v>-117.08039870555555</v>
      </c>
      <c r="N4" s="25">
        <v>773.188</v>
      </c>
      <c r="O4" s="21">
        <v>4003.97</v>
      </c>
      <c r="P4" s="8">
        <f>(O4-VLOOKUP(O4,'Calib. Table'!$A$5:$C$75,1))*(VLOOKUP(O4,'Calib. Table'!$A$5:$C$75,3))+VLOOKUP(O4,'Calib. Table'!$A$5:$C$75,2)</f>
        <v>4097.7107189</v>
      </c>
      <c r="Q4" s="21">
        <v>14.563</v>
      </c>
      <c r="R4" s="51"/>
      <c r="S4" s="16"/>
      <c r="T4" s="16"/>
      <c r="U4" s="20">
        <f>IF(Meters!$D$1=1,P4+Q4,IF(Meters!D$1=2,S4,IF(Meters!$D$1=3,T4)))</f>
        <v>4112.2737189</v>
      </c>
      <c r="V4" s="21">
        <v>-0.084</v>
      </c>
      <c r="W4" s="8">
        <f aca="true" t="shared" si="5" ref="W4:W67">U4+V4</f>
        <v>4112.1897189</v>
      </c>
      <c r="X4" s="25">
        <f t="shared" si="1"/>
        <v>0.010580357142820115</v>
      </c>
      <c r="Y4" s="8">
        <f>IF(Meters!$D$1=3,T4,W4+X4)</f>
        <v>4112.200299257143</v>
      </c>
      <c r="Z4" s="16">
        <f t="shared" si="2"/>
        <v>0</v>
      </c>
      <c r="AA4" s="16">
        <f aca="true" t="shared" si="6" ref="AA4:AA34">100000*9.7803267714*((1+0.00193185138639*(SIN(L4*(PI()/180)))^2)/(SQRT(1-0.00669437999013*(SIN(L4*(PI()/180)))^2)))</f>
        <v>980788.0563383037</v>
      </c>
      <c r="AB4" s="16">
        <f aca="true" t="shared" si="7" ref="AB4:AB34">-0.308769097*N4+0.000439773125*N4*((SIN(L4*(PI()/180)))^2)+0.0000000721251838*N4^2</f>
        <v>-238.51240641787783</v>
      </c>
      <c r="AC4" s="14">
        <f aca="true" t="shared" si="8" ref="AC4:AC34">ROUNDUP((0.874-0.000099*N4+0.00000000356*N4^2),2)</f>
        <v>0.8</v>
      </c>
      <c r="AD4" s="16">
        <f>(N4-VLOOKUP(N4,'Bullard B Table'!$A$4:$B$67,1))*((VLOOKUP(N4+100,'Bullard B Table'!$A$4:$B$67,2)-VLOOKUP(N4,'Bullard B Table'!$A$4:$B$67,2))/100)+VLOOKUP(N4,'Bullard B Table'!$A$4:$B$67,2)+2*(PI())*(0.00000000006673)*N4*2670*100000</f>
        <v>87.47610099858731</v>
      </c>
      <c r="AE4" s="25">
        <v>0.415</v>
      </c>
      <c r="AF4" s="8">
        <f>Y4-'Absolute Base'!$B$16+'Absolute Base'!$B$6+Z4</f>
        <v>980519.7284992571</v>
      </c>
      <c r="AG4" s="67">
        <f aca="true" t="shared" si="9" ref="AG4:AG34">AF4-(AA4+AB4-AC4+AD4-AE4)</f>
        <v>-116.07653362723067</v>
      </c>
      <c r="AH4" s="60"/>
      <c r="AI4" s="61"/>
      <c r="AK4" s="63"/>
      <c r="AL4" s="63"/>
      <c r="AM4" s="63"/>
      <c r="AN4" s="63"/>
      <c r="AO4" s="63"/>
      <c r="AP4" s="63"/>
      <c r="AQ4" s="14"/>
      <c r="AR4" s="14"/>
      <c r="AS4" s="14"/>
      <c r="AT4" s="14"/>
      <c r="AU4" s="14"/>
      <c r="AV4" s="14"/>
    </row>
    <row r="5" spans="1:48" ht="12.75">
      <c r="A5" s="21" t="s">
        <v>56</v>
      </c>
      <c r="B5" s="22">
        <v>38242</v>
      </c>
      <c r="C5" s="23">
        <v>10</v>
      </c>
      <c r="D5" s="24">
        <v>26</v>
      </c>
      <c r="E5" s="41">
        <f t="shared" si="0"/>
        <v>3.25</v>
      </c>
      <c r="F5" s="21">
        <v>46</v>
      </c>
      <c r="G5" s="21">
        <v>51</v>
      </c>
      <c r="H5" s="21">
        <v>31.23386</v>
      </c>
      <c r="I5" s="21">
        <v>117</v>
      </c>
      <c r="J5" s="21">
        <v>5</v>
      </c>
      <c r="K5" s="21">
        <v>3.63057</v>
      </c>
      <c r="L5" s="15">
        <f t="shared" si="3"/>
        <v>46.858676072222224</v>
      </c>
      <c r="M5" s="15">
        <f t="shared" si="4"/>
        <v>-117.084341825</v>
      </c>
      <c r="N5" s="25">
        <v>768.623</v>
      </c>
      <c r="O5" s="21">
        <v>4003.97</v>
      </c>
      <c r="P5" s="8">
        <f>(O5-VLOOKUP(O5,'Calib. Table'!$A$5:$C$75,1))*(VLOOKUP(O5,'Calib. Table'!$A$5:$C$75,3))+VLOOKUP(O5,'Calib. Table'!$A$5:$C$75,2)</f>
        <v>4097.7107189</v>
      </c>
      <c r="Q5" s="21">
        <v>15.153</v>
      </c>
      <c r="R5" s="51"/>
      <c r="S5" s="16"/>
      <c r="T5" s="16"/>
      <c r="U5" s="20">
        <f>IF(Meters!$D$1=1,P5+Q5,IF(Meters!D$1=2,S5,IF(Meters!$D$1=3,T5)))</f>
        <v>4112.8637189</v>
      </c>
      <c r="V5" s="21">
        <v>-0.086</v>
      </c>
      <c r="W5" s="8">
        <f t="shared" si="5"/>
        <v>4112.7777189</v>
      </c>
      <c r="X5" s="25">
        <f t="shared" si="1"/>
        <v>0.011462053571388457</v>
      </c>
      <c r="Y5" s="8">
        <f>IF(Meters!$D$1=3,T5,W5+X5)</f>
        <v>4112.789180953571</v>
      </c>
      <c r="Z5" s="16">
        <f t="shared" si="2"/>
        <v>0</v>
      </c>
      <c r="AA5" s="16">
        <f t="shared" si="6"/>
        <v>980788.0579735845</v>
      </c>
      <c r="AB5" s="16">
        <f t="shared" si="7"/>
        <v>-237.10445188831</v>
      </c>
      <c r="AC5" s="14">
        <f t="shared" si="8"/>
        <v>0.81</v>
      </c>
      <c r="AD5" s="16">
        <f>(N5-VLOOKUP(N5,'Bullard B Table'!$A$4:$B$67,1))*((VLOOKUP(N5+100,'Bullard B Table'!$A$4:$B$67,2)-VLOOKUP(N5,'Bullard B Table'!$A$4:$B$67,2))/100)+VLOOKUP(N5,'Bullard B Table'!$A$4:$B$67,2)+2*(PI())*(0.00000000006673)*N5*2670*100000</f>
        <v>86.96081773493273</v>
      </c>
      <c r="AE5" s="25">
        <v>0.577</v>
      </c>
      <c r="AF5" s="8">
        <f>Y5-'Absolute Base'!$B$16+'Absolute Base'!$B$6+Z5</f>
        <v>980520.3173809536</v>
      </c>
      <c r="AG5" s="67">
        <f t="shared" si="9"/>
        <v>-116.20995847741142</v>
      </c>
      <c r="AH5" s="60"/>
      <c r="AI5" s="61"/>
      <c r="AK5" s="63"/>
      <c r="AL5" s="63"/>
      <c r="AM5" s="63"/>
      <c r="AN5" s="63"/>
      <c r="AO5" s="63"/>
      <c r="AP5" s="63"/>
      <c r="AQ5" s="14"/>
      <c r="AR5" s="14"/>
      <c r="AS5" s="14"/>
      <c r="AT5" s="14"/>
      <c r="AU5" s="14"/>
      <c r="AV5" s="14"/>
    </row>
    <row r="6" spans="1:48" ht="12.75">
      <c r="A6" s="21" t="s">
        <v>57</v>
      </c>
      <c r="B6" s="22">
        <v>38242</v>
      </c>
      <c r="C6" s="23">
        <v>10</v>
      </c>
      <c r="D6" s="24">
        <v>39</v>
      </c>
      <c r="E6" s="41">
        <f t="shared" si="0"/>
        <v>3.466666666666667</v>
      </c>
      <c r="F6" s="21">
        <v>46</v>
      </c>
      <c r="G6" s="21">
        <v>51</v>
      </c>
      <c r="H6" s="21">
        <v>31.17304</v>
      </c>
      <c r="I6" s="21">
        <v>117</v>
      </c>
      <c r="J6" s="21">
        <v>5</v>
      </c>
      <c r="K6" s="21">
        <v>17.80071</v>
      </c>
      <c r="L6" s="15">
        <f t="shared" si="3"/>
        <v>46.85865917777778</v>
      </c>
      <c r="M6" s="15">
        <f t="shared" si="4"/>
        <v>-117.088277975</v>
      </c>
      <c r="N6" s="25">
        <v>783.867</v>
      </c>
      <c r="O6" s="21">
        <v>4003.97</v>
      </c>
      <c r="P6" s="8">
        <f>(O6-VLOOKUP(O6,'Calib. Table'!$A$5:$C$75,1))*(VLOOKUP(O6,'Calib. Table'!$A$5:$C$75,3))+VLOOKUP(O6,'Calib. Table'!$A$5:$C$75,2)</f>
        <v>4097.7107189</v>
      </c>
      <c r="Q6" s="21">
        <v>11.264</v>
      </c>
      <c r="R6" s="51"/>
      <c r="S6" s="16"/>
      <c r="T6" s="16"/>
      <c r="U6" s="20">
        <f>IF(Meters!$D$1=1,P6+Q6,IF(Meters!D$1=2,S6,IF(Meters!$D$1=3,T6)))</f>
        <v>4108.9747189</v>
      </c>
      <c r="V6" s="21">
        <v>-0.088</v>
      </c>
      <c r="W6" s="8">
        <f t="shared" si="5"/>
        <v>4108.8867189</v>
      </c>
      <c r="X6" s="25">
        <f t="shared" si="1"/>
        <v>0.012226190476147689</v>
      </c>
      <c r="Y6" s="8">
        <f>IF(Meters!$D$1=3,T6,W6+X6)</f>
        <v>4108.898945090476</v>
      </c>
      <c r="Z6" s="16">
        <f t="shared" si="2"/>
        <v>0</v>
      </c>
      <c r="AA6" s="16">
        <f t="shared" si="6"/>
        <v>980788.056447222</v>
      </c>
      <c r="AB6" s="16">
        <f t="shared" si="7"/>
        <v>-241.8060519055491</v>
      </c>
      <c r="AC6" s="14">
        <f t="shared" si="8"/>
        <v>0.8</v>
      </c>
      <c r="AD6" s="16">
        <f>(N6-VLOOKUP(N6,'Bullard B Table'!$A$4:$B$67,1))*((VLOOKUP(N6+100,'Bullard B Table'!$A$4:$B$67,2)-VLOOKUP(N6,'Bullard B Table'!$A$4:$B$67,2))/100)+VLOOKUP(N6,'Bullard B Table'!$A$4:$B$67,2)+2*(PI())*(0.00000000006673)*N6*2670*100000</f>
        <v>88.68151391700289</v>
      </c>
      <c r="AE6" s="25">
        <v>0.127</v>
      </c>
      <c r="AF6" s="8">
        <f>Y6-'Absolute Base'!$B$16+'Absolute Base'!$B$6+Z6</f>
        <v>980516.4271450904</v>
      </c>
      <c r="AG6" s="67">
        <f t="shared" si="9"/>
        <v>-117.57776414311957</v>
      </c>
      <c r="AH6" s="60"/>
      <c r="AI6" s="61"/>
      <c r="AK6" s="63"/>
      <c r="AL6" s="63"/>
      <c r="AM6" s="63"/>
      <c r="AN6" s="63"/>
      <c r="AO6" s="63"/>
      <c r="AP6" s="63"/>
      <c r="AQ6" s="14"/>
      <c r="AR6" s="14"/>
      <c r="AS6" s="14"/>
      <c r="AT6" s="14"/>
      <c r="AU6" s="14"/>
      <c r="AV6" s="14"/>
    </row>
    <row r="7" spans="1:48" ht="12.75">
      <c r="A7" s="21" t="s">
        <v>58</v>
      </c>
      <c r="B7" s="22">
        <v>38242</v>
      </c>
      <c r="C7" s="23">
        <v>10</v>
      </c>
      <c r="D7" s="24">
        <v>50</v>
      </c>
      <c r="E7" s="41">
        <f t="shared" si="0"/>
        <v>3.6500000000000004</v>
      </c>
      <c r="F7" s="21">
        <v>46</v>
      </c>
      <c r="G7" s="21">
        <v>51</v>
      </c>
      <c r="H7" s="21">
        <v>31.02627</v>
      </c>
      <c r="I7" s="21">
        <v>117</v>
      </c>
      <c r="J7" s="21">
        <v>5</v>
      </c>
      <c r="K7" s="21">
        <v>32.02541</v>
      </c>
      <c r="L7" s="15">
        <f t="shared" si="3"/>
        <v>46.858618408333335</v>
      </c>
      <c r="M7" s="15">
        <f t="shared" si="4"/>
        <v>-117.09222928055556</v>
      </c>
      <c r="N7" s="25">
        <v>762.067</v>
      </c>
      <c r="O7" s="21">
        <v>4003.97</v>
      </c>
      <c r="P7" s="8">
        <f>(O7-VLOOKUP(O7,'Calib. Table'!$A$5:$C$75,1))*(VLOOKUP(O7,'Calib. Table'!$A$5:$C$75,3))+VLOOKUP(O7,'Calib. Table'!$A$5:$C$75,2)</f>
        <v>4097.7107189</v>
      </c>
      <c r="Q7" s="21">
        <v>15.925</v>
      </c>
      <c r="R7" s="51"/>
      <c r="S7" s="16"/>
      <c r="T7" s="16"/>
      <c r="U7" s="20">
        <f>IF(Meters!$D$1=1,P7+Q7,IF(Meters!D$1=2,S7,IF(Meters!$D$1=3,T7)))</f>
        <v>4113.6357189</v>
      </c>
      <c r="V7" s="21">
        <v>-0.088</v>
      </c>
      <c r="W7" s="8">
        <f t="shared" si="5"/>
        <v>4113.5477189</v>
      </c>
      <c r="X7" s="25">
        <f t="shared" si="1"/>
        <v>0.012872767857097808</v>
      </c>
      <c r="Y7" s="8">
        <f>IF(Meters!$D$1=3,T7,W7+X7)</f>
        <v>4113.560591667858</v>
      </c>
      <c r="Z7" s="16">
        <f t="shared" si="2"/>
        <v>0</v>
      </c>
      <c r="AA7" s="16">
        <f t="shared" si="6"/>
        <v>980788.0527638242</v>
      </c>
      <c r="AB7" s="16">
        <f t="shared" si="7"/>
        <v>-235.08242085608532</v>
      </c>
      <c r="AC7" s="14">
        <f t="shared" si="8"/>
        <v>0.81</v>
      </c>
      <c r="AD7" s="16">
        <f>(N7-VLOOKUP(N7,'Bullard B Table'!$A$4:$B$67,1))*((VLOOKUP(N7+100,'Bullard B Table'!$A$4:$B$67,2)-VLOOKUP(N7,'Bullard B Table'!$A$4:$B$67,2))/100)+VLOOKUP(N7,'Bullard B Table'!$A$4:$B$67,2)+2*(PI())*(0.00000000006673)*N7*2670*100000</f>
        <v>86.22079646953968</v>
      </c>
      <c r="AE7" s="25">
        <v>0.465</v>
      </c>
      <c r="AF7" s="8">
        <f>Y7-'Absolute Base'!$B$16+'Absolute Base'!$B$6+Z7</f>
        <v>980521.0887916678</v>
      </c>
      <c r="AG7" s="67">
        <f t="shared" si="9"/>
        <v>-116.82734776975121</v>
      </c>
      <c r="AH7" s="60"/>
      <c r="AI7" s="61"/>
      <c r="AK7" s="63"/>
      <c r="AL7" s="63"/>
      <c r="AM7" s="63"/>
      <c r="AN7" s="63"/>
      <c r="AO7" s="63"/>
      <c r="AP7" s="63"/>
      <c r="AQ7" s="14"/>
      <c r="AR7" s="14"/>
      <c r="AS7" s="14"/>
      <c r="AT7" s="14"/>
      <c r="AU7" s="14"/>
      <c r="AV7" s="14"/>
    </row>
    <row r="8" spans="1:48" ht="12.75">
      <c r="A8" s="21" t="s">
        <v>59</v>
      </c>
      <c r="B8" s="22">
        <v>38242</v>
      </c>
      <c r="C8" s="23">
        <v>11</v>
      </c>
      <c r="D8" s="24">
        <v>32</v>
      </c>
      <c r="E8" s="41">
        <f t="shared" si="0"/>
        <v>4.35</v>
      </c>
      <c r="F8" s="21">
        <v>46</v>
      </c>
      <c r="G8" s="21">
        <v>51</v>
      </c>
      <c r="H8" s="21">
        <v>30.51932</v>
      </c>
      <c r="I8" s="21">
        <v>117</v>
      </c>
      <c r="J8" s="21">
        <v>5</v>
      </c>
      <c r="K8" s="21">
        <v>46.14896</v>
      </c>
      <c r="L8" s="15">
        <f t="shared" si="3"/>
        <v>46.85847758888889</v>
      </c>
      <c r="M8" s="15">
        <f t="shared" si="4"/>
        <v>-117.09615248888889</v>
      </c>
      <c r="N8" s="25">
        <v>762.098</v>
      </c>
      <c r="O8" s="21">
        <v>4003.97</v>
      </c>
      <c r="P8" s="8">
        <f>(O8-VLOOKUP(O8,'Calib. Table'!$A$5:$C$75,1))*(VLOOKUP(O8,'Calib. Table'!$A$5:$C$75,3))+VLOOKUP(O8,'Calib. Table'!$A$5:$C$75,2)</f>
        <v>4097.7107189</v>
      </c>
      <c r="Q8" s="21">
        <v>15.501</v>
      </c>
      <c r="R8" s="51"/>
      <c r="S8" s="16"/>
      <c r="T8" s="16"/>
      <c r="U8" s="20">
        <f>IF(Meters!$D$1=1,P8+Q8,IF(Meters!D$1=2,S8,IF(Meters!$D$1=3,T8)))</f>
        <v>4113.2117189</v>
      </c>
      <c r="V8" s="21">
        <v>-0.083</v>
      </c>
      <c r="W8" s="8">
        <f t="shared" si="5"/>
        <v>4113.1287189</v>
      </c>
      <c r="X8" s="25">
        <f t="shared" si="1"/>
        <v>0.015341517857089164</v>
      </c>
      <c r="Y8" s="8">
        <f>IF(Meters!$D$1=3,T8,W8+X8)</f>
        <v>4113.144060417858</v>
      </c>
      <c r="Z8" s="16">
        <f t="shared" si="2"/>
        <v>0</v>
      </c>
      <c r="AA8" s="16">
        <f t="shared" si="6"/>
        <v>980788.0400412049</v>
      </c>
      <c r="AB8" s="16">
        <f t="shared" si="7"/>
        <v>-235.09198285381493</v>
      </c>
      <c r="AC8" s="14">
        <f t="shared" si="8"/>
        <v>0.81</v>
      </c>
      <c r="AD8" s="16">
        <f>(N8-VLOOKUP(N8,'Bullard B Table'!$A$4:$B$67,1))*((VLOOKUP(N8+100,'Bullard B Table'!$A$4:$B$67,2)-VLOOKUP(N8,'Bullard B Table'!$A$4:$B$67,2))/100)+VLOOKUP(N8,'Bullard B Table'!$A$4:$B$67,2)+2*(PI())*(0.00000000006673)*N8*2670*100000</f>
        <v>86.22429565490073</v>
      </c>
      <c r="AE8" s="25">
        <v>0.397</v>
      </c>
      <c r="AF8" s="8">
        <f>Y8-'Absolute Base'!$B$16+'Absolute Base'!$B$6+Z8</f>
        <v>980520.6722604178</v>
      </c>
      <c r="AG8" s="67">
        <f t="shared" si="9"/>
        <v>-117.29309358808678</v>
      </c>
      <c r="AH8" s="60"/>
      <c r="AI8" s="61"/>
      <c r="AK8" s="63"/>
      <c r="AL8" s="63"/>
      <c r="AM8" s="63"/>
      <c r="AN8" s="63"/>
      <c r="AO8" s="63"/>
      <c r="AP8" s="63"/>
      <c r="AQ8" s="52"/>
      <c r="AR8" s="52"/>
      <c r="AS8" s="52"/>
      <c r="AT8" s="14"/>
      <c r="AU8" s="14"/>
      <c r="AV8" s="14"/>
    </row>
    <row r="9" spans="1:45" s="14" customFormat="1" ht="12.75">
      <c r="A9" s="21" t="s">
        <v>60</v>
      </c>
      <c r="B9" s="22">
        <v>38242</v>
      </c>
      <c r="C9" s="23">
        <v>11</v>
      </c>
      <c r="D9" s="24">
        <v>44</v>
      </c>
      <c r="E9" s="41">
        <f t="shared" si="0"/>
        <v>4.549999999999999</v>
      </c>
      <c r="F9" s="21">
        <v>46</v>
      </c>
      <c r="G9" s="21">
        <v>51</v>
      </c>
      <c r="H9" s="21">
        <v>30.54646</v>
      </c>
      <c r="I9" s="21">
        <v>117</v>
      </c>
      <c r="J9" s="21">
        <v>6</v>
      </c>
      <c r="K9" s="21">
        <v>0.33344</v>
      </c>
      <c r="L9" s="15">
        <f t="shared" si="3"/>
        <v>46.858485127777776</v>
      </c>
      <c r="M9" s="15">
        <f t="shared" si="4"/>
        <v>-117.10009262222222</v>
      </c>
      <c r="N9" s="25">
        <v>753.697</v>
      </c>
      <c r="O9" s="21">
        <v>4003.97</v>
      </c>
      <c r="P9" s="8">
        <f>(O9-VLOOKUP(O9,'Calib. Table'!$A$5:$C$75,1))*(VLOOKUP(O9,'Calib. Table'!$A$5:$C$75,3))+VLOOKUP(O9,'Calib. Table'!$A$5:$C$75,2)</f>
        <v>4097.7107189</v>
      </c>
      <c r="Q9" s="21">
        <v>17.457</v>
      </c>
      <c r="R9" s="51"/>
      <c r="S9" s="16"/>
      <c r="T9" s="16"/>
      <c r="U9" s="20">
        <f>IF(Meters!$D$1=1,P9+Q9,IF(Meters!D$1=2,S9,IF(Meters!$D$1=3,T9)))</f>
        <v>4115.1677189</v>
      </c>
      <c r="V9" s="21">
        <v>-0.08</v>
      </c>
      <c r="W9" s="8">
        <f t="shared" si="5"/>
        <v>4115.0877189</v>
      </c>
      <c r="X9" s="25">
        <f t="shared" si="1"/>
        <v>0.016046874999943835</v>
      </c>
      <c r="Y9" s="8">
        <f>IF(Meters!$D$1=3,T9,W9+X9)</f>
        <v>4115.103765775</v>
      </c>
      <c r="Z9" s="16">
        <f t="shared" si="2"/>
        <v>0</v>
      </c>
      <c r="AA9" s="16">
        <f t="shared" si="6"/>
        <v>980788.0407223213</v>
      </c>
      <c r="AB9" s="16">
        <f t="shared" si="7"/>
        <v>-232.50089910338642</v>
      </c>
      <c r="AC9" s="14">
        <f t="shared" si="8"/>
        <v>0.81</v>
      </c>
      <c r="AD9" s="16">
        <f>(N9-VLOOKUP(N9,'Bullard B Table'!$A$4:$B$67,1))*((VLOOKUP(N9+100,'Bullard B Table'!$A$4:$B$67,2)-VLOOKUP(N9,'Bullard B Table'!$A$4:$B$67,2))/100)+VLOOKUP(N9,'Bullard B Table'!$A$4:$B$67,2)+2*(PI())*(0.00000000006673)*N9*2670*100000</f>
        <v>85.27601642205033</v>
      </c>
      <c r="AE9" s="25">
        <v>0.323</v>
      </c>
      <c r="AF9" s="8">
        <f>Y9-'Absolute Base'!$B$16+'Absolute Base'!$B$6+Z9</f>
        <v>980522.6319657749</v>
      </c>
      <c r="AG9" s="67">
        <f t="shared" si="9"/>
        <v>-117.05087386502419</v>
      </c>
      <c r="AH9" s="60"/>
      <c r="AI9" s="8"/>
      <c r="AK9" s="64"/>
      <c r="AL9" s="63"/>
      <c r="AM9" s="64"/>
      <c r="AN9" s="64"/>
      <c r="AO9" s="64"/>
      <c r="AP9" s="64"/>
      <c r="AQ9" s="52"/>
      <c r="AR9" s="52"/>
      <c r="AS9" s="52"/>
    </row>
    <row r="10" spans="1:45" s="14" customFormat="1" ht="12.75">
      <c r="A10" s="21" t="s">
        <v>61</v>
      </c>
      <c r="B10" s="22">
        <v>38242</v>
      </c>
      <c r="C10" s="23">
        <v>11</v>
      </c>
      <c r="D10" s="24">
        <v>55</v>
      </c>
      <c r="E10" s="41">
        <f t="shared" si="0"/>
        <v>4.7333333333333325</v>
      </c>
      <c r="F10" s="21">
        <v>46</v>
      </c>
      <c r="G10" s="21">
        <v>51</v>
      </c>
      <c r="H10" s="21">
        <v>30.99556</v>
      </c>
      <c r="I10" s="21">
        <v>117</v>
      </c>
      <c r="J10" s="21">
        <v>6</v>
      </c>
      <c r="K10" s="21">
        <v>14.4797</v>
      </c>
      <c r="L10" s="15">
        <f t="shared" si="3"/>
        <v>46.85860987777778</v>
      </c>
      <c r="M10" s="15">
        <f t="shared" si="4"/>
        <v>-117.10402213888888</v>
      </c>
      <c r="N10" s="25">
        <v>748.341</v>
      </c>
      <c r="O10" s="21">
        <v>4003.97</v>
      </c>
      <c r="P10" s="8">
        <f>(O10-VLOOKUP(O10,'Calib. Table'!$A$5:$C$75,1))*(VLOOKUP(O10,'Calib. Table'!$A$5:$C$75,3))+VLOOKUP(O10,'Calib. Table'!$A$5:$C$75,2)</f>
        <v>4097.7107189</v>
      </c>
      <c r="Q10" s="21">
        <v>18.63</v>
      </c>
      <c r="R10" s="51"/>
      <c r="S10" s="16"/>
      <c r="T10" s="16"/>
      <c r="U10" s="20">
        <f>IF(Meters!$D$1=1,P10+Q10,IF(Meters!D$1=2,S10,IF(Meters!$D$1=3,T10)))</f>
        <v>4116.3407189</v>
      </c>
      <c r="V10" s="21">
        <v>-0.077</v>
      </c>
      <c r="W10" s="8">
        <f t="shared" si="5"/>
        <v>4116.2637189</v>
      </c>
      <c r="X10" s="25">
        <f t="shared" si="1"/>
        <v>0.016693452380893956</v>
      </c>
      <c r="Y10" s="8">
        <f>IF(Meters!$D$1=3,T10,W10+X10)</f>
        <v>4116.280412352381</v>
      </c>
      <c r="Z10" s="16">
        <f t="shared" si="2"/>
        <v>0</v>
      </c>
      <c r="AA10" s="16">
        <f t="shared" si="6"/>
        <v>980788.051993114</v>
      </c>
      <c r="AB10" s="16">
        <f t="shared" si="7"/>
        <v>-230.84896540684628</v>
      </c>
      <c r="AC10" s="14">
        <f t="shared" si="8"/>
        <v>0.81</v>
      </c>
      <c r="AD10" s="16">
        <f>(N10-VLOOKUP(N10,'Bullard B Table'!$A$4:$B$67,1))*((VLOOKUP(N10+100,'Bullard B Table'!$A$4:$B$67,2)-VLOOKUP(N10,'Bullard B Table'!$A$4:$B$67,2))/100)+VLOOKUP(N10,'Bullard B Table'!$A$4:$B$67,2)+2*(PI())*(0.00000000006673)*N10*2670*100000</f>
        <v>84.6714474932149</v>
      </c>
      <c r="AE10" s="25">
        <v>0.417</v>
      </c>
      <c r="AF10" s="8">
        <f>Y10-'Absolute Base'!$B$16+'Absolute Base'!$B$6+Z10</f>
        <v>980523.8086123524</v>
      </c>
      <c r="AG10" s="67">
        <f t="shared" si="9"/>
        <v>-116.83886284788605</v>
      </c>
      <c r="AH10" s="60"/>
      <c r="AI10" s="8"/>
      <c r="AK10" s="64"/>
      <c r="AL10" s="63"/>
      <c r="AM10" s="64"/>
      <c r="AN10" s="64"/>
      <c r="AO10" s="64"/>
      <c r="AP10" s="64"/>
      <c r="AQ10" s="52"/>
      <c r="AR10" s="65"/>
      <c r="AS10" s="65"/>
    </row>
    <row r="11" spans="1:45" s="14" customFormat="1" ht="12.75">
      <c r="A11" s="21" t="s">
        <v>62</v>
      </c>
      <c r="B11" s="22">
        <v>38242</v>
      </c>
      <c r="C11" s="23">
        <v>12</v>
      </c>
      <c r="D11" s="24">
        <v>9</v>
      </c>
      <c r="E11" s="41">
        <f t="shared" si="0"/>
        <v>4.966666666666667</v>
      </c>
      <c r="F11" s="21">
        <v>46</v>
      </c>
      <c r="G11" s="21">
        <v>51</v>
      </c>
      <c r="H11" s="21">
        <v>31.26359</v>
      </c>
      <c r="I11" s="21">
        <v>117</v>
      </c>
      <c r="J11" s="21">
        <v>6</v>
      </c>
      <c r="K11" s="21">
        <v>28.63363</v>
      </c>
      <c r="L11" s="15">
        <f t="shared" si="3"/>
        <v>46.858684330555555</v>
      </c>
      <c r="M11" s="15">
        <f t="shared" si="4"/>
        <v>-117.10795378611111</v>
      </c>
      <c r="N11" s="25">
        <v>745.108</v>
      </c>
      <c r="O11" s="21">
        <v>4003.97</v>
      </c>
      <c r="P11" s="8">
        <f>(O11-VLOOKUP(O11,'Calib. Table'!$A$5:$C$75,1))*(VLOOKUP(O11,'Calib. Table'!$A$5:$C$75,3))+VLOOKUP(O11,'Calib. Table'!$A$5:$C$75,2)</f>
        <v>4097.7107189</v>
      </c>
      <c r="Q11" s="21">
        <v>19.58</v>
      </c>
      <c r="R11" s="51"/>
      <c r="S11" s="16"/>
      <c r="T11" s="16"/>
      <c r="U11" s="20">
        <f>IF(Meters!$D$1=1,P11+Q11,IF(Meters!D$1=2,S11,IF(Meters!$D$1=3,T11)))</f>
        <v>4117.2907189</v>
      </c>
      <c r="V11" s="21">
        <v>-0.072</v>
      </c>
      <c r="W11" s="8">
        <f t="shared" si="5"/>
        <v>4117.2187189</v>
      </c>
      <c r="X11" s="25">
        <f t="shared" si="1"/>
        <v>0.017516369047557746</v>
      </c>
      <c r="Y11" s="8">
        <f>IF(Meters!$D$1=3,T11,W11+X11)</f>
        <v>4117.236235269047</v>
      </c>
      <c r="Z11" s="16">
        <f t="shared" si="2"/>
        <v>0</v>
      </c>
      <c r="AA11" s="16">
        <f t="shared" si="6"/>
        <v>980788.0587197003</v>
      </c>
      <c r="AB11" s="16">
        <f t="shared" si="7"/>
        <v>-229.8518197168973</v>
      </c>
      <c r="AC11" s="14">
        <f t="shared" si="8"/>
        <v>0.81</v>
      </c>
      <c r="AD11" s="16">
        <f>(N11-VLOOKUP(N11,'Bullard B Table'!$A$4:$B$67,1))*((VLOOKUP(N11+100,'Bullard B Table'!$A$4:$B$67,2)-VLOOKUP(N11,'Bullard B Table'!$A$4:$B$67,2))/100)+VLOOKUP(N11,'Bullard B Table'!$A$4:$B$67,2)+2*(PI())*(0.00000000006673)*N11*2670*100000</f>
        <v>84.30651632313925</v>
      </c>
      <c r="AE11" s="25">
        <v>0.489</v>
      </c>
      <c r="AF11" s="8">
        <f>Y11-'Absolute Base'!$B$16+'Absolute Base'!$B$6+Z11</f>
        <v>980524.764435269</v>
      </c>
      <c r="AG11" s="67">
        <f t="shared" si="9"/>
        <v>-116.44998103752732</v>
      </c>
      <c r="AH11" s="60"/>
      <c r="AI11" s="8"/>
      <c r="AK11" s="64"/>
      <c r="AL11" s="63"/>
      <c r="AM11" s="64"/>
      <c r="AN11" s="64"/>
      <c r="AO11" s="64"/>
      <c r="AP11" s="64"/>
      <c r="AQ11" s="52"/>
      <c r="AR11" s="65"/>
      <c r="AS11" s="52"/>
    </row>
    <row r="12" spans="1:45" s="14" customFormat="1" ht="12.75">
      <c r="A12" s="21" t="s">
        <v>63</v>
      </c>
      <c r="B12" s="22">
        <v>38242</v>
      </c>
      <c r="C12" s="23">
        <v>12</v>
      </c>
      <c r="D12" s="24">
        <v>19</v>
      </c>
      <c r="E12" s="41">
        <f t="shared" si="0"/>
        <v>5.133333333333333</v>
      </c>
      <c r="F12" s="21">
        <v>46</v>
      </c>
      <c r="G12" s="21">
        <v>51</v>
      </c>
      <c r="H12" s="21">
        <v>31.37847</v>
      </c>
      <c r="I12" s="21">
        <v>117</v>
      </c>
      <c r="J12" s="21">
        <v>6</v>
      </c>
      <c r="K12" s="21">
        <v>42.82014</v>
      </c>
      <c r="L12" s="15">
        <f t="shared" si="3"/>
        <v>46.85871624166667</v>
      </c>
      <c r="M12" s="15">
        <f t="shared" si="4"/>
        <v>-117.11189448333333</v>
      </c>
      <c r="N12" s="25">
        <v>742.76</v>
      </c>
      <c r="O12" s="21">
        <v>4003.97</v>
      </c>
      <c r="P12" s="8">
        <f>(O12-VLOOKUP(O12,'Calib. Table'!$A$5:$C$75,1))*(VLOOKUP(O12,'Calib. Table'!$A$5:$C$75,3))+VLOOKUP(O12,'Calib. Table'!$A$5:$C$75,2)</f>
        <v>4097.7107189</v>
      </c>
      <c r="Q12" s="21">
        <v>20.236</v>
      </c>
      <c r="R12" s="51"/>
      <c r="S12" s="16"/>
      <c r="T12" s="16"/>
      <c r="U12" s="20">
        <f>IF(Meters!$D$1=1,P12+Q12,IF(Meters!D$1=2,S12,IF(Meters!$D$1=3,T12)))</f>
        <v>4117.9467189</v>
      </c>
      <c r="V12" s="21">
        <v>-0.068</v>
      </c>
      <c r="W12" s="8">
        <f t="shared" si="5"/>
        <v>4117.8787188999995</v>
      </c>
      <c r="X12" s="25">
        <f t="shared" si="1"/>
        <v>0.018104166666603305</v>
      </c>
      <c r="Y12" s="8">
        <f>IF(Meters!$D$1=3,T12,W12+X12)</f>
        <v>4117.896823066666</v>
      </c>
      <c r="Z12" s="16">
        <f t="shared" si="2"/>
        <v>0</v>
      </c>
      <c r="AA12" s="16">
        <f t="shared" si="6"/>
        <v>980788.0616027737</v>
      </c>
      <c r="AB12" s="16">
        <f t="shared" si="7"/>
        <v>-229.12763143339268</v>
      </c>
      <c r="AC12" s="14">
        <f t="shared" si="8"/>
        <v>0.81</v>
      </c>
      <c r="AD12" s="16">
        <f>(N12-VLOOKUP(N12,'Bullard B Table'!$A$4:$B$67,1))*((VLOOKUP(N12+100,'Bullard B Table'!$A$4:$B$67,2)-VLOOKUP(N12,'Bullard B Table'!$A$4:$B$67,2))/100)+VLOOKUP(N12,'Bullard B Table'!$A$4:$B$67,2)+2*(PI())*(0.00000000006673)*N12*2670*100000</f>
        <v>84.04148125127487</v>
      </c>
      <c r="AE12" s="25">
        <v>0.679</v>
      </c>
      <c r="AF12" s="8">
        <f>Y12-'Absolute Base'!$B$16+'Absolute Base'!$B$6+Z12</f>
        <v>980525.4250230666</v>
      </c>
      <c r="AG12" s="67">
        <f t="shared" si="9"/>
        <v>-116.06142952491064</v>
      </c>
      <c r="AH12" s="60"/>
      <c r="AI12" s="8"/>
      <c r="AK12" s="64"/>
      <c r="AL12" s="63"/>
      <c r="AM12" s="64"/>
      <c r="AN12" s="64"/>
      <c r="AO12" s="64"/>
      <c r="AP12" s="64"/>
      <c r="AQ12" s="65"/>
      <c r="AR12" s="52"/>
      <c r="AS12" s="52"/>
    </row>
    <row r="13" spans="1:45" s="14" customFormat="1" ht="12.75">
      <c r="A13" s="21" t="s">
        <v>64</v>
      </c>
      <c r="B13" s="22">
        <v>38242</v>
      </c>
      <c r="C13" s="23">
        <v>12</v>
      </c>
      <c r="D13" s="24">
        <v>32</v>
      </c>
      <c r="E13" s="41">
        <f t="shared" si="0"/>
        <v>5.35</v>
      </c>
      <c r="F13" s="21">
        <v>46</v>
      </c>
      <c r="G13" s="21">
        <v>51</v>
      </c>
      <c r="H13" s="21">
        <v>31.27639</v>
      </c>
      <c r="I13" s="21">
        <v>117</v>
      </c>
      <c r="J13" s="21">
        <v>6</v>
      </c>
      <c r="K13" s="21">
        <v>56.99123</v>
      </c>
      <c r="L13" s="15">
        <f t="shared" si="3"/>
        <v>46.85868788611111</v>
      </c>
      <c r="M13" s="15">
        <f t="shared" si="4"/>
        <v>-117.11583089722221</v>
      </c>
      <c r="N13" s="25">
        <v>741.678</v>
      </c>
      <c r="O13" s="21">
        <v>4003.97</v>
      </c>
      <c r="P13" s="8">
        <f>(O13-VLOOKUP(O13,'Calib. Table'!$A$5:$C$75,1))*(VLOOKUP(O13,'Calib. Table'!$A$5:$C$75,3))+VLOOKUP(O13,'Calib. Table'!$A$5:$C$75,2)</f>
        <v>4097.7107189</v>
      </c>
      <c r="Q13" s="21">
        <v>20.716</v>
      </c>
      <c r="R13" s="51"/>
      <c r="S13" s="16"/>
      <c r="T13" s="16"/>
      <c r="U13" s="20">
        <f>IF(Meters!$D$1=1,P13+Q13,IF(Meters!D$1=2,S13,IF(Meters!$D$1=3,T13)))</f>
        <v>4118.4267189</v>
      </c>
      <c r="V13" s="21">
        <v>-0.062</v>
      </c>
      <c r="W13" s="8">
        <f t="shared" si="5"/>
        <v>4118.3647189</v>
      </c>
      <c r="X13" s="25">
        <f t="shared" si="1"/>
        <v>0.018868303571362537</v>
      </c>
      <c r="Y13" s="8">
        <f>IF(Meters!$D$1=3,T13,W13+X13)</f>
        <v>4118.383587203572</v>
      </c>
      <c r="Z13" s="16">
        <f t="shared" si="2"/>
        <v>0</v>
      </c>
      <c r="AA13" s="16">
        <f t="shared" si="6"/>
        <v>980788.0590409343</v>
      </c>
      <c r="AB13" s="16">
        <f t="shared" si="7"/>
        <v>-228.79391261908964</v>
      </c>
      <c r="AC13" s="14">
        <f t="shared" si="8"/>
        <v>0.81</v>
      </c>
      <c r="AD13" s="16">
        <f>(N13-VLOOKUP(N13,'Bullard B Table'!$A$4:$B$67,1))*((VLOOKUP(N13+100,'Bullard B Table'!$A$4:$B$67,2)-VLOOKUP(N13,'Bullard B Table'!$A$4:$B$67,2))/100)+VLOOKUP(N13,'Bullard B Table'!$A$4:$B$67,2)+2*(PI())*(0.00000000006673)*N13*2670*100000</f>
        <v>83.91934839447876</v>
      </c>
      <c r="AE13" s="25">
        <v>1.148</v>
      </c>
      <c r="AF13" s="8">
        <f>Y13-'Absolute Base'!$B$16+'Absolute Base'!$B$6+Z13</f>
        <v>980525.9117872035</v>
      </c>
      <c r="AG13" s="67">
        <f t="shared" si="9"/>
        <v>-115.31468950607814</v>
      </c>
      <c r="AH13" s="60"/>
      <c r="AI13" s="8"/>
      <c r="AK13" s="64"/>
      <c r="AL13" s="63"/>
      <c r="AM13" s="64"/>
      <c r="AN13" s="64"/>
      <c r="AO13" s="64"/>
      <c r="AP13" s="64"/>
      <c r="AQ13" s="52"/>
      <c r="AR13" s="52"/>
      <c r="AS13" s="65"/>
    </row>
    <row r="14" spans="1:45" s="14" customFormat="1" ht="12.75">
      <c r="A14" s="21" t="s">
        <v>65</v>
      </c>
      <c r="B14" s="22">
        <v>38242</v>
      </c>
      <c r="C14" s="23">
        <v>12</v>
      </c>
      <c r="D14" s="24">
        <v>54</v>
      </c>
      <c r="E14" s="41">
        <f t="shared" si="0"/>
        <v>5.716666666666667</v>
      </c>
      <c r="F14" s="21">
        <v>46</v>
      </c>
      <c r="G14" s="21">
        <v>51</v>
      </c>
      <c r="H14" s="21">
        <v>31.49309</v>
      </c>
      <c r="I14" s="21">
        <v>117</v>
      </c>
      <c r="J14" s="21">
        <v>7</v>
      </c>
      <c r="K14" s="21">
        <v>11.16735</v>
      </c>
      <c r="L14" s="15">
        <f t="shared" si="3"/>
        <v>46.85874808055556</v>
      </c>
      <c r="M14" s="15">
        <f t="shared" si="4"/>
        <v>-117.11976870833332</v>
      </c>
      <c r="N14" s="25">
        <v>750.76</v>
      </c>
      <c r="O14" s="21">
        <v>4003.97</v>
      </c>
      <c r="P14" s="8">
        <f>(O14-VLOOKUP(O14,'Calib. Table'!$A$5:$C$75,1))*(VLOOKUP(O14,'Calib. Table'!$A$5:$C$75,3))+VLOOKUP(O14,'Calib. Table'!$A$5:$C$75,2)</f>
        <v>4097.7107189</v>
      </c>
      <c r="Q14" s="21">
        <v>19.283</v>
      </c>
      <c r="R14" s="51"/>
      <c r="S14" s="16"/>
      <c r="T14" s="16"/>
      <c r="U14" s="20">
        <f>IF(Meters!$D$1=1,P14+Q14,IF(Meters!D$1=2,S14,IF(Meters!$D$1=3,T14)))</f>
        <v>4116.9937189</v>
      </c>
      <c r="V14" s="21">
        <v>-0.051</v>
      </c>
      <c r="W14" s="8">
        <f t="shared" si="5"/>
        <v>4116.9427189</v>
      </c>
      <c r="X14" s="25">
        <f t="shared" si="1"/>
        <v>0.020161458333262775</v>
      </c>
      <c r="Y14" s="8">
        <f>IF(Meters!$D$1=3,T14,W14+X14)</f>
        <v>4116.962880358333</v>
      </c>
      <c r="Z14" s="16">
        <f t="shared" si="2"/>
        <v>0</v>
      </c>
      <c r="AA14" s="16">
        <f t="shared" si="6"/>
        <v>980788.0644793219</v>
      </c>
      <c r="AB14" s="16">
        <f t="shared" si="7"/>
        <v>-231.5950491181827</v>
      </c>
      <c r="AC14" s="14">
        <f t="shared" si="8"/>
        <v>0.81</v>
      </c>
      <c r="AD14" s="16">
        <f>(N14-VLOOKUP(N14,'Bullard B Table'!$A$4:$B$67,1))*((VLOOKUP(N14+100,'Bullard B Table'!$A$4:$B$67,2)-VLOOKUP(N14,'Bullard B Table'!$A$4:$B$67,2))/100)+VLOOKUP(N14,'Bullard B Table'!$A$4:$B$67,2)+2*(PI())*(0.00000000006673)*N14*2670*100000</f>
        <v>84.9444968283256</v>
      </c>
      <c r="AE14" s="25">
        <v>0.579</v>
      </c>
      <c r="AF14" s="8">
        <f>Y14-'Absolute Base'!$B$16+'Absolute Base'!$B$6+Z14</f>
        <v>980524.4910803583</v>
      </c>
      <c r="AG14" s="67">
        <f t="shared" si="9"/>
        <v>-115.5338466737885</v>
      </c>
      <c r="AH14" s="60"/>
      <c r="AI14" s="8"/>
      <c r="AK14" s="64"/>
      <c r="AL14" s="63"/>
      <c r="AM14" s="64"/>
      <c r="AN14" s="64"/>
      <c r="AO14" s="64"/>
      <c r="AP14" s="64"/>
      <c r="AQ14" s="52"/>
      <c r="AR14" s="65"/>
      <c r="AS14" s="52"/>
    </row>
    <row r="15" spans="1:45" s="14" customFormat="1" ht="12.75">
      <c r="A15" s="21" t="s">
        <v>66</v>
      </c>
      <c r="B15" s="22">
        <v>38242</v>
      </c>
      <c r="C15" s="23">
        <v>13</v>
      </c>
      <c r="D15" s="24">
        <v>5</v>
      </c>
      <c r="E15" s="41">
        <f t="shared" si="0"/>
        <v>5.9</v>
      </c>
      <c r="F15" s="21">
        <v>46</v>
      </c>
      <c r="G15" s="21">
        <v>51</v>
      </c>
      <c r="H15" s="21">
        <v>31.26739</v>
      </c>
      <c r="I15" s="21">
        <v>117</v>
      </c>
      <c r="J15" s="21">
        <v>7</v>
      </c>
      <c r="K15" s="21">
        <v>25.33754</v>
      </c>
      <c r="L15" s="15">
        <f t="shared" si="3"/>
        <v>46.85868538611111</v>
      </c>
      <c r="M15" s="15">
        <f t="shared" si="4"/>
        <v>-117.12370487222222</v>
      </c>
      <c r="N15" s="25">
        <v>736.77</v>
      </c>
      <c r="O15" s="21">
        <v>4003.97</v>
      </c>
      <c r="P15" s="8">
        <f>(O15-VLOOKUP(O15,'Calib. Table'!$A$5:$C$75,1))*(VLOOKUP(O15,'Calib. Table'!$A$5:$C$75,3))+VLOOKUP(O15,'Calib. Table'!$A$5:$C$75,2)</f>
        <v>4097.7107189</v>
      </c>
      <c r="Q15" s="21">
        <v>22.67</v>
      </c>
      <c r="R15" s="51"/>
      <c r="S15" s="16"/>
      <c r="T15" s="16"/>
      <c r="U15" s="20">
        <f>IF(Meters!$D$1=1,P15+Q15,IF(Meters!D$1=2,S15,IF(Meters!$D$1=3,T15)))</f>
        <v>4120.3807189</v>
      </c>
      <c r="V15" s="21">
        <v>-0.044</v>
      </c>
      <c r="W15" s="8">
        <f t="shared" si="5"/>
        <v>4120.3367189</v>
      </c>
      <c r="X15" s="25">
        <f t="shared" si="1"/>
        <v>0.020808035714212893</v>
      </c>
      <c r="Y15" s="8">
        <f>IF(Meters!$D$1=3,T15,W15+X15)</f>
        <v>4120.357526935714</v>
      </c>
      <c r="Z15" s="16">
        <f t="shared" si="2"/>
        <v>0</v>
      </c>
      <c r="AA15" s="16">
        <f t="shared" si="6"/>
        <v>980788.0588150668</v>
      </c>
      <c r="AB15" s="16">
        <f t="shared" si="7"/>
        <v>-227.2801464348476</v>
      </c>
      <c r="AC15" s="14">
        <f t="shared" si="8"/>
        <v>0.81</v>
      </c>
      <c r="AD15" s="16">
        <f>(N15-VLOOKUP(N15,'Bullard B Table'!$A$4:$B$67,1))*((VLOOKUP(N15+100,'Bullard B Table'!$A$4:$B$67,2)-VLOOKUP(N15,'Bullard B Table'!$A$4:$B$67,2))/100)+VLOOKUP(N15,'Bullard B Table'!$A$4:$B$67,2)+2*(PI())*(0.00000000006673)*N15*2670*100000</f>
        <v>83.36534833795814</v>
      </c>
      <c r="AE15" s="25">
        <v>1.45</v>
      </c>
      <c r="AF15" s="8">
        <f>Y15-'Absolute Base'!$B$16+'Absolute Base'!$B$6+Z15</f>
        <v>980527.8857269357</v>
      </c>
      <c r="AG15" s="67">
        <f t="shared" si="9"/>
        <v>-113.99829003412742</v>
      </c>
      <c r="AH15" s="60"/>
      <c r="AI15" s="8"/>
      <c r="AK15" s="64"/>
      <c r="AL15" s="63"/>
      <c r="AM15" s="64"/>
      <c r="AN15" s="64"/>
      <c r="AO15" s="64"/>
      <c r="AP15" s="64"/>
      <c r="AQ15" s="52"/>
      <c r="AR15" s="52"/>
      <c r="AS15" s="65"/>
    </row>
    <row r="16" spans="1:45" s="14" customFormat="1" ht="12.75">
      <c r="A16" s="21" t="s">
        <v>67</v>
      </c>
      <c r="B16" s="22">
        <v>38242</v>
      </c>
      <c r="C16" s="23">
        <v>13</v>
      </c>
      <c r="D16" s="24">
        <v>17</v>
      </c>
      <c r="E16" s="41">
        <f t="shared" si="0"/>
        <v>6.1</v>
      </c>
      <c r="F16" s="21">
        <v>46</v>
      </c>
      <c r="G16" s="21">
        <v>51</v>
      </c>
      <c r="H16" s="21">
        <v>30.99829</v>
      </c>
      <c r="I16" s="21">
        <v>117</v>
      </c>
      <c r="J16" s="21">
        <v>7</v>
      </c>
      <c r="K16" s="21">
        <v>39.50382</v>
      </c>
      <c r="L16" s="15">
        <f t="shared" si="3"/>
        <v>46.85861063611111</v>
      </c>
      <c r="M16" s="15">
        <f t="shared" si="4"/>
        <v>-117.12763994999999</v>
      </c>
      <c r="N16" s="25">
        <v>733.73</v>
      </c>
      <c r="O16" s="21">
        <v>4003.97</v>
      </c>
      <c r="P16" s="8">
        <f>(O16-VLOOKUP(O16,'Calib. Table'!$A$5:$C$75,1))*(VLOOKUP(O16,'Calib. Table'!$A$5:$C$75,3))+VLOOKUP(O16,'Calib. Table'!$A$5:$C$75,2)</f>
        <v>4097.7107189</v>
      </c>
      <c r="Q16" s="21">
        <v>23.839</v>
      </c>
      <c r="R16" s="51"/>
      <c r="S16" s="16"/>
      <c r="T16" s="16"/>
      <c r="U16" s="20">
        <f>IF(Meters!$D$1=1,P16+Q16,IF(Meters!D$1=2,S16,IF(Meters!$D$1=3,T16)))</f>
        <v>4121.5497189</v>
      </c>
      <c r="V16" s="21">
        <v>-0.037</v>
      </c>
      <c r="W16" s="8">
        <f t="shared" si="5"/>
        <v>4121.5127188999995</v>
      </c>
      <c r="X16" s="25">
        <f t="shared" si="1"/>
        <v>0.021513392857067565</v>
      </c>
      <c r="Y16" s="8">
        <f>IF(Meters!$D$1=3,T16,W16+X16)</f>
        <v>4121.534232292856</v>
      </c>
      <c r="Z16" s="16">
        <f t="shared" si="2"/>
        <v>0</v>
      </c>
      <c r="AA16" s="16">
        <f t="shared" si="6"/>
        <v>980788.0520616273</v>
      </c>
      <c r="AB16" s="16">
        <f t="shared" si="7"/>
        <v>-226.3425230170456</v>
      </c>
      <c r="AC16" s="14">
        <f t="shared" si="8"/>
        <v>0.81</v>
      </c>
      <c r="AD16" s="16">
        <f>(N16-VLOOKUP(N16,'Bullard B Table'!$A$4:$B$67,1))*((VLOOKUP(N16+100,'Bullard B Table'!$A$4:$B$67,2)-VLOOKUP(N16,'Bullard B Table'!$A$4:$B$67,2))/100)+VLOOKUP(N16,'Bullard B Table'!$A$4:$B$67,2)+2*(PI())*(0.00000000006673)*N16*2670*100000</f>
        <v>83.02220241867884</v>
      </c>
      <c r="AE16" s="25">
        <v>1.32</v>
      </c>
      <c r="AF16" s="8">
        <f>Y16-'Absolute Base'!$B$16+'Absolute Base'!$B$6+Z16</f>
        <v>980529.0624322928</v>
      </c>
      <c r="AG16" s="67">
        <f t="shared" si="9"/>
        <v>-113.53930873598438</v>
      </c>
      <c r="AH16" s="60"/>
      <c r="AI16" s="8"/>
      <c r="AK16" s="64"/>
      <c r="AL16" s="63"/>
      <c r="AM16" s="64"/>
      <c r="AN16" s="64"/>
      <c r="AO16" s="64"/>
      <c r="AP16" s="64"/>
      <c r="AQ16" s="52"/>
      <c r="AR16" s="65"/>
      <c r="AS16" s="65"/>
    </row>
    <row r="17" spans="1:42" s="14" customFormat="1" ht="12.75">
      <c r="A17" s="21" t="s">
        <v>68</v>
      </c>
      <c r="B17" s="22">
        <v>38242</v>
      </c>
      <c r="C17" s="23">
        <v>14</v>
      </c>
      <c r="D17" s="24">
        <v>34</v>
      </c>
      <c r="E17" s="41">
        <f t="shared" si="0"/>
        <v>7.383333333333333</v>
      </c>
      <c r="F17" s="21">
        <v>46</v>
      </c>
      <c r="G17" s="21">
        <v>51</v>
      </c>
      <c r="H17" s="21">
        <v>31.59823</v>
      </c>
      <c r="I17" s="21">
        <v>117</v>
      </c>
      <c r="J17" s="21">
        <v>7</v>
      </c>
      <c r="K17" s="21">
        <v>53.65694</v>
      </c>
      <c r="L17" s="15">
        <f t="shared" si="3"/>
        <v>46.85877728611111</v>
      </c>
      <c r="M17" s="15">
        <f t="shared" si="4"/>
        <v>-117.13157137222221</v>
      </c>
      <c r="N17" s="25">
        <v>733.029</v>
      </c>
      <c r="O17" s="21">
        <v>4003.97</v>
      </c>
      <c r="P17" s="8">
        <f>(O17-VLOOKUP(O17,'Calib. Table'!$A$5:$C$75,1))*(VLOOKUP(O17,'Calib. Table'!$A$5:$C$75,3))+VLOOKUP(O17,'Calib. Table'!$A$5:$C$75,2)</f>
        <v>4097.7107189</v>
      </c>
      <c r="Q17" s="21">
        <v>24.59</v>
      </c>
      <c r="R17" s="51"/>
      <c r="S17" s="16"/>
      <c r="T17" s="16"/>
      <c r="U17" s="20">
        <f>IF(Meters!$D$1=1,P17+Q17,IF(Meters!D$1=2,S17,IF(Meters!$D$1=3,T17)))</f>
        <v>4122.3007189</v>
      </c>
      <c r="V17" s="21">
        <v>0.013</v>
      </c>
      <c r="W17" s="8">
        <f t="shared" si="5"/>
        <v>4122.3137189</v>
      </c>
      <c r="X17" s="25">
        <f t="shared" si="1"/>
        <v>0.026039434523718392</v>
      </c>
      <c r="Y17" s="8">
        <f>IF(Meters!$D$1=3,T17,W17+X17)</f>
        <v>4122.339758334524</v>
      </c>
      <c r="Z17" s="16">
        <f t="shared" si="2"/>
        <v>0</v>
      </c>
      <c r="AA17" s="16">
        <f t="shared" si="6"/>
        <v>980788.0671179562</v>
      </c>
      <c r="AB17" s="16">
        <f t="shared" si="7"/>
        <v>-226.1263132371171</v>
      </c>
      <c r="AC17" s="14">
        <f t="shared" si="8"/>
        <v>0.81</v>
      </c>
      <c r="AD17" s="16">
        <f>(N17-VLOOKUP(N17,'Bullard B Table'!$A$4:$B$67,1))*((VLOOKUP(N17+100,'Bullard B Table'!$A$4:$B$67,2)-VLOOKUP(N17,'Bullard B Table'!$A$4:$B$67,2))/100)+VLOOKUP(N17,'Bullard B Table'!$A$4:$B$67,2)+2*(PI())*(0.00000000006673)*N17*2670*100000</f>
        <v>82.94307567873979</v>
      </c>
      <c r="AE17" s="25">
        <v>0.979</v>
      </c>
      <c r="AF17" s="8">
        <f>Y17-'Absolute Base'!$B$16+'Absolute Base'!$B$6+Z17</f>
        <v>980529.8679583345</v>
      </c>
      <c r="AG17" s="67">
        <f t="shared" si="9"/>
        <v>-113.22692206327338</v>
      </c>
      <c r="AH17" s="60"/>
      <c r="AI17" s="8"/>
      <c r="AK17" s="64"/>
      <c r="AL17" s="63"/>
      <c r="AM17" s="64"/>
      <c r="AN17" s="64"/>
      <c r="AO17" s="64"/>
      <c r="AP17" s="64"/>
    </row>
    <row r="18" spans="1:42" s="14" customFormat="1" ht="12.75">
      <c r="A18" s="21" t="s">
        <v>69</v>
      </c>
      <c r="B18" s="22">
        <v>38242</v>
      </c>
      <c r="C18" s="23">
        <v>14</v>
      </c>
      <c r="D18" s="24">
        <v>53</v>
      </c>
      <c r="E18" s="41">
        <f t="shared" si="0"/>
        <v>7.699999999999999</v>
      </c>
      <c r="F18" s="21">
        <v>46</v>
      </c>
      <c r="G18" s="21">
        <v>51</v>
      </c>
      <c r="H18" s="21">
        <v>53.24625</v>
      </c>
      <c r="I18" s="21">
        <v>117</v>
      </c>
      <c r="J18" s="21">
        <v>4</v>
      </c>
      <c r="K18" s="21">
        <v>32.21552</v>
      </c>
      <c r="L18" s="15">
        <f t="shared" si="3"/>
        <v>46.864790625000005</v>
      </c>
      <c r="M18" s="15">
        <f t="shared" si="4"/>
        <v>-117.07561542222221</v>
      </c>
      <c r="N18" s="25">
        <v>824.661</v>
      </c>
      <c r="O18" s="21">
        <v>4003.97</v>
      </c>
      <c r="P18" s="8">
        <f>(O18-VLOOKUP(O18,'Calib. Table'!$A$5:$C$75,1))*(VLOOKUP(O18,'Calib. Table'!$A$5:$C$75,3))+VLOOKUP(O18,'Calib. Table'!$A$5:$C$75,2)</f>
        <v>4097.7107189</v>
      </c>
      <c r="Q18" s="21">
        <v>7.028</v>
      </c>
      <c r="R18" s="51"/>
      <c r="S18" s="16"/>
      <c r="T18" s="16"/>
      <c r="U18" s="20">
        <f>IF(Meters!$D$1=1,P18+Q18,IF(Meters!D$1=2,S18,IF(Meters!$D$1=3,T18)))</f>
        <v>4104.7387189</v>
      </c>
      <c r="V18" s="21">
        <v>0.025</v>
      </c>
      <c r="W18" s="8">
        <f t="shared" si="5"/>
        <v>4104.7637189</v>
      </c>
      <c r="X18" s="25">
        <f t="shared" si="1"/>
        <v>0.027156249999904958</v>
      </c>
      <c r="Y18" s="8">
        <f>IF(Meters!$D$1=3,T18,W18+X18)</f>
        <v>4104.79087515</v>
      </c>
      <c r="Z18" s="16">
        <f t="shared" si="2"/>
        <v>0</v>
      </c>
      <c r="AA18" s="16">
        <f t="shared" si="6"/>
        <v>980788.6104015815</v>
      </c>
      <c r="AB18" s="16">
        <f t="shared" si="7"/>
        <v>-254.3876553728476</v>
      </c>
      <c r="AC18" s="14">
        <f t="shared" si="8"/>
        <v>0.8</v>
      </c>
      <c r="AD18" s="16">
        <f>(N18-VLOOKUP(N18,'Bullard B Table'!$A$4:$B$67,1))*((VLOOKUP(N18+100,'Bullard B Table'!$A$4:$B$67,2)-VLOOKUP(N18,'Bullard B Table'!$A$4:$B$67,2))/100)+VLOOKUP(N18,'Bullard B Table'!$A$4:$B$67,2)+2*(PI())*(0.00000000006673)*N18*2670*100000</f>
        <v>93.28473643827883</v>
      </c>
      <c r="AE18" s="25">
        <v>0.647</v>
      </c>
      <c r="AF18" s="8">
        <f>Y18-'Absolute Base'!$B$16+'Absolute Base'!$B$6+Z18</f>
        <v>980512.31907515</v>
      </c>
      <c r="AG18" s="67">
        <f t="shared" si="9"/>
        <v>-113.74140749697108</v>
      </c>
      <c r="AH18" s="60"/>
      <c r="AI18" s="8"/>
      <c r="AK18" s="63"/>
      <c r="AL18" s="63"/>
      <c r="AM18" s="63"/>
      <c r="AN18" s="63"/>
      <c r="AO18" s="63"/>
      <c r="AP18" s="63"/>
    </row>
    <row r="19" spans="1:42" s="14" customFormat="1" ht="12.75">
      <c r="A19" s="21" t="s">
        <v>70</v>
      </c>
      <c r="B19" s="22">
        <v>38242</v>
      </c>
      <c r="C19" s="23">
        <v>15</v>
      </c>
      <c r="D19" s="24">
        <v>15</v>
      </c>
      <c r="E19" s="41">
        <f t="shared" si="0"/>
        <v>8.066666666666666</v>
      </c>
      <c r="F19" s="21">
        <v>46</v>
      </c>
      <c r="G19" s="21">
        <v>51</v>
      </c>
      <c r="H19" s="21">
        <v>54.3135</v>
      </c>
      <c r="I19" s="21">
        <v>117</v>
      </c>
      <c r="J19" s="21">
        <v>4</v>
      </c>
      <c r="K19" s="21">
        <v>46.28707</v>
      </c>
      <c r="L19" s="15">
        <f t="shared" si="3"/>
        <v>46.865087083333336</v>
      </c>
      <c r="M19" s="15">
        <f t="shared" si="4"/>
        <v>-117.0795241861111</v>
      </c>
      <c r="N19" s="25">
        <v>775.663</v>
      </c>
      <c r="O19" s="21">
        <v>4003.97</v>
      </c>
      <c r="P19" s="8">
        <f>(O19-VLOOKUP(O19,'Calib. Table'!$A$5:$C$75,1))*(VLOOKUP(O19,'Calib. Table'!$A$5:$C$75,3))+VLOOKUP(O19,'Calib. Table'!$A$5:$C$75,2)</f>
        <v>4097.7107189</v>
      </c>
      <c r="Q19" s="21">
        <v>15.866</v>
      </c>
      <c r="R19" s="51"/>
      <c r="S19" s="16"/>
      <c r="T19" s="16"/>
      <c r="U19" s="20">
        <f>IF(Meters!$D$1=1,P19+Q19,IF(Meters!D$1=2,S19,IF(Meters!$D$1=3,T19)))</f>
        <v>4113.5767189</v>
      </c>
      <c r="V19" s="21">
        <v>0.039</v>
      </c>
      <c r="W19" s="8">
        <f t="shared" si="5"/>
        <v>4113.6157189</v>
      </c>
      <c r="X19" s="25">
        <f t="shared" si="1"/>
        <v>0.028449404761805196</v>
      </c>
      <c r="Y19" s="8">
        <f>IF(Meters!$D$1=3,T19,W19+X19)</f>
        <v>4113.6441683047615</v>
      </c>
      <c r="Z19" s="16">
        <f t="shared" si="2"/>
        <v>0</v>
      </c>
      <c r="AA19" s="16">
        <f t="shared" si="6"/>
        <v>980788.6371853506</v>
      </c>
      <c r="AB19" s="16">
        <f t="shared" si="7"/>
        <v>-239.27571574922828</v>
      </c>
      <c r="AC19" s="14">
        <f t="shared" si="8"/>
        <v>0.8</v>
      </c>
      <c r="AD19" s="16">
        <f>(N19-VLOOKUP(N19,'Bullard B Table'!$A$4:$B$67,1))*((VLOOKUP(N19+100,'Bullard B Table'!$A$4:$B$67,2)-VLOOKUP(N19,'Bullard B Table'!$A$4:$B$67,2))/100)+VLOOKUP(N19,'Bullard B Table'!$A$4:$B$67,2)+2*(PI())*(0.00000000006673)*N19*2670*100000</f>
        <v>87.75547144273736</v>
      </c>
      <c r="AE19" s="25">
        <v>0.351</v>
      </c>
      <c r="AF19" s="8">
        <f>Y19-'Absolute Base'!$B$16+'Absolute Base'!$B$6+Z19</f>
        <v>980521.1723683047</v>
      </c>
      <c r="AG19" s="67">
        <f t="shared" si="9"/>
        <v>-114.79357273934875</v>
      </c>
      <c r="AH19" s="60"/>
      <c r="AI19" s="8"/>
      <c r="AK19" s="63"/>
      <c r="AL19" s="63"/>
      <c r="AM19" s="63"/>
      <c r="AN19" s="63"/>
      <c r="AO19" s="63"/>
      <c r="AP19" s="63"/>
    </row>
    <row r="20" spans="1:42" s="14" customFormat="1" ht="12.75">
      <c r="A20" s="21" t="s">
        <v>71</v>
      </c>
      <c r="B20" s="22">
        <v>38242</v>
      </c>
      <c r="C20" s="23">
        <v>15</v>
      </c>
      <c r="D20" s="24">
        <v>23</v>
      </c>
      <c r="E20" s="41">
        <f t="shared" si="0"/>
        <v>8.2</v>
      </c>
      <c r="F20" s="21">
        <v>46</v>
      </c>
      <c r="G20" s="21">
        <v>51</v>
      </c>
      <c r="H20" s="21">
        <v>56.67876</v>
      </c>
      <c r="I20" s="21">
        <v>117</v>
      </c>
      <c r="J20" s="21">
        <v>5</v>
      </c>
      <c r="K20" s="21">
        <v>0.035</v>
      </c>
      <c r="L20" s="15">
        <f t="shared" si="3"/>
        <v>46.8657441</v>
      </c>
      <c r="M20" s="15">
        <f t="shared" si="4"/>
        <v>-117.08334305555555</v>
      </c>
      <c r="N20" s="25">
        <v>770.799</v>
      </c>
      <c r="O20" s="21">
        <v>4003.97</v>
      </c>
      <c r="P20" s="8">
        <f>(O20-VLOOKUP(O20,'Calib. Table'!$A$5:$C$75,1))*(VLOOKUP(O20,'Calib. Table'!$A$5:$C$75,3))+VLOOKUP(O20,'Calib. Table'!$A$5:$C$75,2)</f>
        <v>4097.7107189</v>
      </c>
      <c r="Q20" s="21">
        <v>15.292</v>
      </c>
      <c r="R20" s="51"/>
      <c r="S20" s="16"/>
      <c r="T20" s="16"/>
      <c r="U20" s="20">
        <f>IF(Meters!$D$1=1,P20+Q20,IF(Meters!D$1=2,S20,IF(Meters!$D$1=3,T20)))</f>
        <v>4113.0027189</v>
      </c>
      <c r="V20" s="21">
        <v>0.043</v>
      </c>
      <c r="W20" s="8">
        <f t="shared" si="5"/>
        <v>4113.0457189</v>
      </c>
      <c r="X20" s="25">
        <f t="shared" si="1"/>
        <v>0.028919642857041645</v>
      </c>
      <c r="Y20" s="8">
        <f>IF(Meters!$D$1=3,T20,W20+X20)</f>
        <v>4113.0746385428565</v>
      </c>
      <c r="Z20" s="16">
        <f t="shared" si="2"/>
        <v>0</v>
      </c>
      <c r="AA20" s="16">
        <f t="shared" si="6"/>
        <v>980788.6965439959</v>
      </c>
      <c r="AB20" s="16">
        <f t="shared" si="7"/>
        <v>-237.77554061700982</v>
      </c>
      <c r="AC20" s="14">
        <f t="shared" si="8"/>
        <v>0.8</v>
      </c>
      <c r="AD20" s="16">
        <f>(N20-VLOOKUP(N20,'Bullard B Table'!$A$4:$B$67,1))*((VLOOKUP(N20+100,'Bullard B Table'!$A$4:$B$67,2)-VLOOKUP(N20,'Bullard B Table'!$A$4:$B$67,2))/100)+VLOOKUP(N20,'Bullard B Table'!$A$4:$B$67,2)+2*(PI())*(0.00000000006673)*N20*2670*100000</f>
        <v>87.20643797189055</v>
      </c>
      <c r="AE20" s="25">
        <v>0.25</v>
      </c>
      <c r="AF20" s="8">
        <f>Y20-'Absolute Base'!$B$16+'Absolute Base'!$B$6+Z20</f>
        <v>980520.6028385428</v>
      </c>
      <c r="AG20" s="67">
        <f t="shared" si="9"/>
        <v>-116.47460280789528</v>
      </c>
      <c r="AH20" s="60"/>
      <c r="AI20" s="8"/>
      <c r="AK20" s="63"/>
      <c r="AL20" s="63"/>
      <c r="AM20" s="63"/>
      <c r="AN20" s="63"/>
      <c r="AO20" s="63"/>
      <c r="AP20" s="63"/>
    </row>
    <row r="21" spans="1:42" s="14" customFormat="1" ht="12.75">
      <c r="A21" s="21" t="s">
        <v>72</v>
      </c>
      <c r="B21" s="22">
        <v>38242</v>
      </c>
      <c r="C21" s="23">
        <v>15</v>
      </c>
      <c r="D21" s="24">
        <v>33</v>
      </c>
      <c r="E21" s="41">
        <f t="shared" si="0"/>
        <v>8.366666666666667</v>
      </c>
      <c r="F21" s="21">
        <v>46</v>
      </c>
      <c r="G21" s="21">
        <v>51</v>
      </c>
      <c r="H21" s="21">
        <v>56.85072</v>
      </c>
      <c r="I21" s="21">
        <v>117</v>
      </c>
      <c r="J21" s="21">
        <v>5</v>
      </c>
      <c r="K21" s="21">
        <v>14.21449</v>
      </c>
      <c r="L21" s="15">
        <f t="shared" si="3"/>
        <v>46.86579186666667</v>
      </c>
      <c r="M21" s="15">
        <f t="shared" si="4"/>
        <v>-117.08728180277777</v>
      </c>
      <c r="N21" s="25">
        <v>756.784</v>
      </c>
      <c r="O21" s="21">
        <v>4003.97</v>
      </c>
      <c r="P21" s="8">
        <f>(O21-VLOOKUP(O21,'Calib. Table'!$A$5:$C$75,1))*(VLOOKUP(O21,'Calib. Table'!$A$5:$C$75,3))+VLOOKUP(O21,'Calib. Table'!$A$5:$C$75,2)</f>
        <v>4097.7107189</v>
      </c>
      <c r="Q21" s="21">
        <v>19.026</v>
      </c>
      <c r="R21" s="51"/>
      <c r="S21" s="16"/>
      <c r="T21" s="16"/>
      <c r="U21" s="20">
        <f>IF(Meters!$D$1=1,P21+Q21,IF(Meters!D$1=2,S21,IF(Meters!$D$1=3,T21)))</f>
        <v>4116.7367189</v>
      </c>
      <c r="V21" s="21">
        <v>0.049</v>
      </c>
      <c r="W21" s="8">
        <f t="shared" si="5"/>
        <v>4116.7857189</v>
      </c>
      <c r="X21" s="25">
        <f t="shared" si="1"/>
        <v>0.02950744047608721</v>
      </c>
      <c r="Y21" s="8">
        <f>IF(Meters!$D$1=3,T21,W21+X21)</f>
        <v>4116.815226340475</v>
      </c>
      <c r="Z21" s="16">
        <f t="shared" si="2"/>
        <v>0</v>
      </c>
      <c r="AA21" s="16">
        <f t="shared" si="6"/>
        <v>980788.7008595066</v>
      </c>
      <c r="AB21" s="16">
        <f t="shared" si="7"/>
        <v>-233.4529678493125</v>
      </c>
      <c r="AC21" s="14">
        <f t="shared" si="8"/>
        <v>0.81</v>
      </c>
      <c r="AD21" s="16">
        <f>(N21-VLOOKUP(N21,'Bullard B Table'!$A$4:$B$67,1))*((VLOOKUP(N21+100,'Bullard B Table'!$A$4:$B$67,2)-VLOOKUP(N21,'Bullard B Table'!$A$4:$B$67,2))/100)+VLOOKUP(N21,'Bullard B Table'!$A$4:$B$67,2)+2*(PI())*(0.00000000006673)*N21*2670*100000</f>
        <v>85.62446755784478</v>
      </c>
      <c r="AE21" s="25">
        <v>0.456</v>
      </c>
      <c r="AF21" s="8">
        <f>Y21-'Absolute Base'!$B$16+'Absolute Base'!$B$6+Z21</f>
        <v>980524.3434263405</v>
      </c>
      <c r="AG21" s="67">
        <f t="shared" si="9"/>
        <v>-115.26293287461158</v>
      </c>
      <c r="AH21" s="60"/>
      <c r="AI21" s="8"/>
      <c r="AK21" s="63"/>
      <c r="AL21" s="63"/>
      <c r="AM21" s="63"/>
      <c r="AN21" s="63"/>
      <c r="AO21" s="63"/>
      <c r="AP21" s="63"/>
    </row>
    <row r="22" spans="1:42" s="14" customFormat="1" ht="12.75">
      <c r="A22" s="21" t="s">
        <v>73</v>
      </c>
      <c r="B22" s="22">
        <v>38242</v>
      </c>
      <c r="C22" s="23">
        <v>15</v>
      </c>
      <c r="D22" s="24">
        <v>50</v>
      </c>
      <c r="E22" s="41">
        <f t="shared" si="0"/>
        <v>8.65</v>
      </c>
      <c r="F22" s="21">
        <v>46</v>
      </c>
      <c r="G22" s="21">
        <v>51</v>
      </c>
      <c r="H22" s="21">
        <v>56.70046</v>
      </c>
      <c r="I22" s="21">
        <v>117</v>
      </c>
      <c r="J22" s="21">
        <v>5</v>
      </c>
      <c r="K22" s="21">
        <v>28.37937</v>
      </c>
      <c r="L22" s="15">
        <f t="shared" si="3"/>
        <v>46.86575012777778</v>
      </c>
      <c r="M22" s="15">
        <f t="shared" si="4"/>
        <v>-117.09121649166666</v>
      </c>
      <c r="N22" s="25">
        <v>750.58</v>
      </c>
      <c r="O22" s="21">
        <v>4003.97</v>
      </c>
      <c r="P22" s="8">
        <f>(O22-VLOOKUP(O22,'Calib. Table'!$A$5:$C$75,1))*(VLOOKUP(O22,'Calib. Table'!$A$5:$C$75,3))+VLOOKUP(O22,'Calib. Table'!$A$5:$C$75,2)</f>
        <v>4097.7107189</v>
      </c>
      <c r="Q22" s="21">
        <v>19.855</v>
      </c>
      <c r="R22" s="51"/>
      <c r="S22" s="16"/>
      <c r="T22" s="16"/>
      <c r="U22" s="20">
        <f>IF(Meters!$D$1=1,P22+Q22,IF(Meters!D$1=2,S22,IF(Meters!$D$1=3,T22)))</f>
        <v>4117.565718899999</v>
      </c>
      <c r="V22" s="21">
        <v>0.058</v>
      </c>
      <c r="W22" s="8">
        <f t="shared" si="5"/>
        <v>4117.623718899999</v>
      </c>
      <c r="X22" s="25">
        <f t="shared" si="1"/>
        <v>0.030506696428464666</v>
      </c>
      <c r="Y22" s="8">
        <f>IF(Meters!$D$1=3,T22,W22+X22)</f>
        <v>4117.654225596428</v>
      </c>
      <c r="Z22" s="16">
        <f t="shared" si="2"/>
        <v>0</v>
      </c>
      <c r="AA22" s="16">
        <f t="shared" si="6"/>
        <v>980788.6970885792</v>
      </c>
      <c r="AB22" s="16">
        <f t="shared" si="7"/>
        <v>-231.53949206364823</v>
      </c>
      <c r="AC22" s="14">
        <f t="shared" si="8"/>
        <v>0.81</v>
      </c>
      <c r="AD22" s="16">
        <f>(N22-VLOOKUP(N22,'Bullard B Table'!$A$4:$B$67,1))*((VLOOKUP(N22+100,'Bullard B Table'!$A$4:$B$67,2)-VLOOKUP(N22,'Bullard B Table'!$A$4:$B$67,2))/100)+VLOOKUP(N22,'Bullard B Table'!$A$4:$B$67,2)+2*(PI())*(0.00000000006673)*N22*2670*100000</f>
        <v>84.92417897784196</v>
      </c>
      <c r="AE22" s="25">
        <v>0.846</v>
      </c>
      <c r="AF22" s="8">
        <f>Y22-'Absolute Base'!$B$16+'Absolute Base'!$B$6+Z22</f>
        <v>980525.1824255964</v>
      </c>
      <c r="AG22" s="67">
        <f t="shared" si="9"/>
        <v>-115.24334989686031</v>
      </c>
      <c r="AH22" s="60"/>
      <c r="AI22" s="8"/>
      <c r="AK22" s="63"/>
      <c r="AL22" s="63"/>
      <c r="AM22" s="63"/>
      <c r="AN22" s="63"/>
      <c r="AO22" s="63"/>
      <c r="AP22" s="63"/>
    </row>
    <row r="23" spans="1:42" s="14" customFormat="1" ht="12.75">
      <c r="A23" s="21" t="s">
        <v>74</v>
      </c>
      <c r="B23" s="22">
        <v>38242</v>
      </c>
      <c r="C23" s="23">
        <v>15</v>
      </c>
      <c r="D23" s="24">
        <v>59</v>
      </c>
      <c r="E23" s="41">
        <f t="shared" si="0"/>
        <v>8.799999999999999</v>
      </c>
      <c r="F23" s="21">
        <v>46</v>
      </c>
      <c r="G23" s="21">
        <v>51</v>
      </c>
      <c r="H23" s="21">
        <v>57.33375</v>
      </c>
      <c r="I23" s="21">
        <v>117</v>
      </c>
      <c r="J23" s="21">
        <v>5</v>
      </c>
      <c r="K23" s="21">
        <v>42.50749</v>
      </c>
      <c r="L23" s="15">
        <f t="shared" si="3"/>
        <v>46.86592604166667</v>
      </c>
      <c r="M23" s="15">
        <f t="shared" si="4"/>
        <v>-117.09514096944444</v>
      </c>
      <c r="N23" s="25">
        <v>755.644</v>
      </c>
      <c r="O23" s="21">
        <v>4003.97</v>
      </c>
      <c r="P23" s="8">
        <f>(O23-VLOOKUP(O23,'Calib. Table'!$A$5:$C$75,1))*(VLOOKUP(O23,'Calib. Table'!$A$5:$C$75,3))+VLOOKUP(O23,'Calib. Table'!$A$5:$C$75,2)</f>
        <v>4097.7107189</v>
      </c>
      <c r="Q23" s="21">
        <v>19.116</v>
      </c>
      <c r="R23" s="51"/>
      <c r="S23" s="16"/>
      <c r="T23" s="16"/>
      <c r="U23" s="20">
        <f>IF(Meters!$D$1=1,P23+Q23,IF(Meters!D$1=2,S23,IF(Meters!$D$1=3,T23)))</f>
        <v>4116.8267189</v>
      </c>
      <c r="V23" s="21">
        <v>0.062</v>
      </c>
      <c r="W23" s="8">
        <f t="shared" si="5"/>
        <v>4116.8887189</v>
      </c>
      <c r="X23" s="25">
        <f t="shared" si="1"/>
        <v>0.031035714285605667</v>
      </c>
      <c r="Y23" s="8">
        <f>IF(Meters!$D$1=3,T23,W23+X23)</f>
        <v>4116.919754614285</v>
      </c>
      <c r="Z23" s="16">
        <f t="shared" si="2"/>
        <v>0</v>
      </c>
      <c r="AA23" s="16">
        <f t="shared" si="6"/>
        <v>980788.7129816323</v>
      </c>
      <c r="AB23" s="16">
        <f t="shared" si="7"/>
        <v>-233.10136164303228</v>
      </c>
      <c r="AC23" s="14">
        <f t="shared" si="8"/>
        <v>0.81</v>
      </c>
      <c r="AD23" s="16">
        <f>(N23-VLOOKUP(N23,'Bullard B Table'!$A$4:$B$67,1))*((VLOOKUP(N23+100,'Bullard B Table'!$A$4:$B$67,2)-VLOOKUP(N23,'Bullard B Table'!$A$4:$B$67,2))/100)+VLOOKUP(N23,'Bullard B Table'!$A$4:$B$67,2)+2*(PI())*(0.00000000006673)*N23*2670*100000</f>
        <v>85.49578783811506</v>
      </c>
      <c r="AE23" s="25">
        <v>1.29</v>
      </c>
      <c r="AF23" s="8">
        <f>Y23-'Absolute Base'!$B$16+'Absolute Base'!$B$6+Z23</f>
        <v>980524.4479546143</v>
      </c>
      <c r="AG23" s="67">
        <f t="shared" si="9"/>
        <v>-114.55945321300533</v>
      </c>
      <c r="AH23" s="60"/>
      <c r="AI23" s="8"/>
      <c r="AK23" s="63"/>
      <c r="AL23" s="63"/>
      <c r="AM23" s="63"/>
      <c r="AN23" s="63"/>
      <c r="AO23" s="63"/>
      <c r="AP23" s="63"/>
    </row>
    <row r="24" spans="1:42" s="14" customFormat="1" ht="12.75">
      <c r="A24" s="21" t="s">
        <v>75</v>
      </c>
      <c r="B24" s="22">
        <v>38242</v>
      </c>
      <c r="C24" s="23">
        <v>16</v>
      </c>
      <c r="D24" s="24">
        <v>10</v>
      </c>
      <c r="E24" s="41">
        <f t="shared" si="0"/>
        <v>8.983333333333334</v>
      </c>
      <c r="F24" s="21">
        <v>46</v>
      </c>
      <c r="G24" s="21">
        <v>51</v>
      </c>
      <c r="H24" s="21">
        <v>57.49957</v>
      </c>
      <c r="I24" s="21">
        <v>117</v>
      </c>
      <c r="J24" s="21">
        <v>5</v>
      </c>
      <c r="K24" s="21">
        <v>56.69676</v>
      </c>
      <c r="L24" s="15">
        <f t="shared" si="3"/>
        <v>46.86597210277778</v>
      </c>
      <c r="M24" s="15">
        <f t="shared" si="4"/>
        <v>-117.09908243333332</v>
      </c>
      <c r="N24" s="25">
        <v>779.511</v>
      </c>
      <c r="O24" s="21">
        <v>4003.97</v>
      </c>
      <c r="P24" s="8">
        <f>(O24-VLOOKUP(O24,'Calib. Table'!$A$5:$C$75,1))*(VLOOKUP(O24,'Calib. Table'!$A$5:$C$75,3))+VLOOKUP(O24,'Calib. Table'!$A$5:$C$75,2)</f>
        <v>4097.7107189</v>
      </c>
      <c r="Q24" s="21">
        <v>13.979</v>
      </c>
      <c r="R24" s="51"/>
      <c r="S24" s="16"/>
      <c r="T24" s="16"/>
      <c r="U24" s="20">
        <f>IF(Meters!$D$1=1,P24+Q24,IF(Meters!D$1=2,S24,IF(Meters!$D$1=3,T24)))</f>
        <v>4111.6897189</v>
      </c>
      <c r="V24" s="21">
        <v>0.067</v>
      </c>
      <c r="W24" s="8">
        <f t="shared" si="5"/>
        <v>4111.7567189</v>
      </c>
      <c r="X24" s="25">
        <f t="shared" si="1"/>
        <v>0.03168229166655579</v>
      </c>
      <c r="Y24" s="8">
        <f>IF(Meters!$D$1=3,T24,W24+X24)</f>
        <v>4111.788401191667</v>
      </c>
      <c r="Z24" s="16">
        <f t="shared" si="2"/>
        <v>0</v>
      </c>
      <c r="AA24" s="16">
        <f t="shared" si="6"/>
        <v>980788.7171430521</v>
      </c>
      <c r="AB24" s="16">
        <f t="shared" si="7"/>
        <v>-240.46252116063698</v>
      </c>
      <c r="AC24" s="14">
        <f t="shared" si="8"/>
        <v>0.8</v>
      </c>
      <c r="AD24" s="16">
        <f>(N24-VLOOKUP(N24,'Bullard B Table'!$A$4:$B$67,1))*((VLOOKUP(N24+100,'Bullard B Table'!$A$4:$B$67,2)-VLOOKUP(N24,'Bullard B Table'!$A$4:$B$67,2))/100)+VLOOKUP(N24,'Bullard B Table'!$A$4:$B$67,2)+2*(PI())*(0.00000000006673)*N24*2670*100000</f>
        <v>88.18982193529877</v>
      </c>
      <c r="AE24" s="25">
        <v>0.786</v>
      </c>
      <c r="AF24" s="8">
        <f>Y24-'Absolute Base'!$B$16+'Absolute Base'!$B$6+Z24</f>
        <v>980519.3166011916</v>
      </c>
      <c r="AG24" s="67">
        <f t="shared" si="9"/>
        <v>-115.54184263513889</v>
      </c>
      <c r="AH24" s="60"/>
      <c r="AI24" s="8"/>
      <c r="AK24" s="63"/>
      <c r="AL24" s="63"/>
      <c r="AM24" s="63"/>
      <c r="AN24" s="63"/>
      <c r="AO24" s="63"/>
      <c r="AP24" s="63"/>
    </row>
    <row r="25" spans="1:42" s="14" customFormat="1" ht="12.75">
      <c r="A25" s="21" t="s">
        <v>76</v>
      </c>
      <c r="B25" s="22">
        <v>38242</v>
      </c>
      <c r="C25" s="23">
        <v>16</v>
      </c>
      <c r="D25" s="24">
        <v>22</v>
      </c>
      <c r="E25" s="41">
        <f t="shared" si="0"/>
        <v>9.183333333333334</v>
      </c>
      <c r="F25" s="21">
        <v>46</v>
      </c>
      <c r="G25" s="21">
        <v>51</v>
      </c>
      <c r="H25" s="21">
        <v>57.51739</v>
      </c>
      <c r="I25" s="21">
        <v>117</v>
      </c>
      <c r="J25" s="21">
        <v>6</v>
      </c>
      <c r="K25" s="21">
        <v>10.87612</v>
      </c>
      <c r="L25" s="15">
        <f t="shared" si="3"/>
        <v>46.86597705277778</v>
      </c>
      <c r="M25" s="15">
        <f t="shared" si="4"/>
        <v>-117.10302114444444</v>
      </c>
      <c r="N25" s="25">
        <v>776.964</v>
      </c>
      <c r="O25" s="21">
        <v>4003.97</v>
      </c>
      <c r="P25" s="8">
        <f>(O25-VLOOKUP(O25,'Calib. Table'!$A$5:$C$75,1))*(VLOOKUP(O25,'Calib. Table'!$A$5:$C$75,3))+VLOOKUP(O25,'Calib. Table'!$A$5:$C$75,2)</f>
        <v>4097.7107189</v>
      </c>
      <c r="Q25" s="21">
        <v>14.223</v>
      </c>
      <c r="R25" s="51"/>
      <c r="S25" s="16"/>
      <c r="T25" s="16"/>
      <c r="U25" s="20">
        <f>IF(Meters!$D$1=1,P25+Q25,IF(Meters!D$1=2,S25,IF(Meters!$D$1=3,T25)))</f>
        <v>4111.9337189</v>
      </c>
      <c r="V25" s="21">
        <v>0.072</v>
      </c>
      <c r="W25" s="8">
        <f t="shared" si="5"/>
        <v>4112.0057189</v>
      </c>
      <c r="X25" s="25">
        <f t="shared" si="1"/>
        <v>0.03238764880941046</v>
      </c>
      <c r="Y25" s="8">
        <f>IF(Meters!$D$1=3,T25,W25+X25)</f>
        <v>4112.038106548809</v>
      </c>
      <c r="Z25" s="16">
        <f t="shared" si="2"/>
        <v>0</v>
      </c>
      <c r="AA25" s="16">
        <f t="shared" si="6"/>
        <v>980788.7175902628</v>
      </c>
      <c r="AB25" s="16">
        <f t="shared" si="7"/>
        <v>-239.67696867405667</v>
      </c>
      <c r="AC25" s="14">
        <f t="shared" si="8"/>
        <v>0.8</v>
      </c>
      <c r="AD25" s="16">
        <f>(N25-VLOOKUP(N25,'Bullard B Table'!$A$4:$B$67,1))*((VLOOKUP(N25+100,'Bullard B Table'!$A$4:$B$67,2)-VLOOKUP(N25,'Bullard B Table'!$A$4:$B$67,2))/100)+VLOOKUP(N25,'Bullard B Table'!$A$4:$B$67,2)+2*(PI())*(0.00000000006673)*N25*2670*100000</f>
        <v>87.90232435095525</v>
      </c>
      <c r="AE25" s="25">
        <v>0.377</v>
      </c>
      <c r="AF25" s="8">
        <f>Y25-'Absolute Base'!$B$16+'Absolute Base'!$B$6+Z25</f>
        <v>980519.5663065488</v>
      </c>
      <c r="AG25" s="67">
        <f t="shared" si="9"/>
        <v>-116.1996393908048</v>
      </c>
      <c r="AH25" s="60"/>
      <c r="AI25" s="8"/>
      <c r="AK25" s="63"/>
      <c r="AL25" s="63"/>
      <c r="AM25" s="63"/>
      <c r="AN25" s="63"/>
      <c r="AO25" s="63"/>
      <c r="AP25" s="63"/>
    </row>
    <row r="26" spans="1:42" s="14" customFormat="1" ht="12.75">
      <c r="A26" s="21" t="s">
        <v>77</v>
      </c>
      <c r="B26" s="22">
        <v>38242</v>
      </c>
      <c r="C26" s="23">
        <v>16</v>
      </c>
      <c r="D26" s="24">
        <v>51</v>
      </c>
      <c r="E26" s="41">
        <f t="shared" si="0"/>
        <v>9.666666666666668</v>
      </c>
      <c r="F26" s="21">
        <v>46</v>
      </c>
      <c r="G26" s="21">
        <v>51</v>
      </c>
      <c r="H26" s="21">
        <v>57.37683</v>
      </c>
      <c r="I26" s="21">
        <v>117</v>
      </c>
      <c r="J26" s="21">
        <v>6</v>
      </c>
      <c r="K26" s="21">
        <v>24.98831</v>
      </c>
      <c r="L26" s="15">
        <f t="shared" si="3"/>
        <v>46.86593800833334</v>
      </c>
      <c r="M26" s="15">
        <f t="shared" si="4"/>
        <v>-117.10694119722221</v>
      </c>
      <c r="N26" s="25">
        <v>767.841</v>
      </c>
      <c r="O26" s="21">
        <v>4003.97</v>
      </c>
      <c r="P26" s="8">
        <f>(O26-VLOOKUP(O26,'Calib. Table'!$A$5:$C$75,1))*(VLOOKUP(O26,'Calib. Table'!$A$5:$C$75,3))+VLOOKUP(O26,'Calib. Table'!$A$5:$C$75,2)</f>
        <v>4097.7107189</v>
      </c>
      <c r="Q26" s="21">
        <v>15.966</v>
      </c>
      <c r="R26" s="51"/>
      <c r="S26" s="16"/>
      <c r="T26" s="16"/>
      <c r="U26" s="20">
        <f>IF(Meters!$D$1=1,P26+Q26,IF(Meters!D$1=2,S26,IF(Meters!$D$1=3,T26)))</f>
        <v>4113.6767189</v>
      </c>
      <c r="V26" s="21">
        <v>0.081</v>
      </c>
      <c r="W26" s="8">
        <f t="shared" si="5"/>
        <v>4113.7577189</v>
      </c>
      <c r="X26" s="25">
        <f t="shared" si="1"/>
        <v>0.034092261904642596</v>
      </c>
      <c r="Y26" s="8">
        <f>IF(Meters!$D$1=3,T26,W26+X26)</f>
        <v>4113.791811161905</v>
      </c>
      <c r="Z26" s="16">
        <f t="shared" si="2"/>
        <v>0</v>
      </c>
      <c r="AA26" s="16">
        <f t="shared" si="6"/>
        <v>980788.7140627684</v>
      </c>
      <c r="AB26" s="16">
        <f t="shared" si="7"/>
        <v>-236.86322150538595</v>
      </c>
      <c r="AC26" s="14">
        <f t="shared" si="8"/>
        <v>0.81</v>
      </c>
      <c r="AD26" s="16">
        <f>(N26-VLOOKUP(N26,'Bullard B Table'!$A$4:$B$67,1))*((VLOOKUP(N26+100,'Bullard B Table'!$A$4:$B$67,2)-VLOOKUP(N26,'Bullard B Table'!$A$4:$B$67,2))/100)+VLOOKUP(N26,'Bullard B Table'!$A$4:$B$67,2)+2*(PI())*(0.00000000006673)*N26*2670*100000</f>
        <v>86.87254796227603</v>
      </c>
      <c r="AE26" s="25">
        <v>0.334</v>
      </c>
      <c r="AF26" s="8">
        <f>Y26-'Absolute Base'!$B$16+'Absolute Base'!$B$6+Z26</f>
        <v>980521.3200111618</v>
      </c>
      <c r="AG26" s="67">
        <f t="shared" si="9"/>
        <v>-116.25937806325965</v>
      </c>
      <c r="AH26" s="60"/>
      <c r="AI26" s="8"/>
      <c r="AK26" s="63"/>
      <c r="AL26" s="63"/>
      <c r="AM26" s="63"/>
      <c r="AN26" s="63"/>
      <c r="AO26" s="63"/>
      <c r="AP26" s="63"/>
    </row>
    <row r="27" spans="1:42" s="14" customFormat="1" ht="12.75">
      <c r="A27" s="21" t="s">
        <v>78</v>
      </c>
      <c r="B27" s="22">
        <v>38242</v>
      </c>
      <c r="C27" s="23">
        <v>17</v>
      </c>
      <c r="D27" s="24">
        <v>2</v>
      </c>
      <c r="E27" s="41">
        <f t="shared" si="0"/>
        <v>9.850000000000001</v>
      </c>
      <c r="F27" s="21">
        <v>46</v>
      </c>
      <c r="G27" s="21">
        <v>51</v>
      </c>
      <c r="H27" s="21">
        <v>57.49283</v>
      </c>
      <c r="I27" s="21">
        <v>117</v>
      </c>
      <c r="J27" s="21">
        <v>6</v>
      </c>
      <c r="K27" s="21">
        <v>39.19319</v>
      </c>
      <c r="L27" s="15">
        <f t="shared" si="3"/>
        <v>46.865970230555554</v>
      </c>
      <c r="M27" s="15">
        <f t="shared" si="4"/>
        <v>-117.11088699722221</v>
      </c>
      <c r="N27" s="25">
        <v>758.836</v>
      </c>
      <c r="O27" s="21">
        <v>4003.97</v>
      </c>
      <c r="P27" s="8">
        <f>(O27-VLOOKUP(O27,'Calib. Table'!$A$5:$C$75,1))*(VLOOKUP(O27,'Calib. Table'!$A$5:$C$75,3))+VLOOKUP(O27,'Calib. Table'!$A$5:$C$75,2)</f>
        <v>4097.7107189</v>
      </c>
      <c r="Q27" s="21">
        <v>18.198</v>
      </c>
      <c r="R27" s="51"/>
      <c r="S27" s="16"/>
      <c r="T27" s="16"/>
      <c r="U27" s="20">
        <f>IF(Meters!$D$1=1,P27+Q27,IF(Meters!D$1=2,S27,IF(Meters!$D$1=3,T27)))</f>
        <v>4115.9087189</v>
      </c>
      <c r="V27" s="21">
        <v>0.083</v>
      </c>
      <c r="W27" s="8">
        <f t="shared" si="5"/>
        <v>4115.9917189</v>
      </c>
      <c r="X27" s="25">
        <f t="shared" si="1"/>
        <v>0.03473883928559272</v>
      </c>
      <c r="Y27" s="8">
        <f>IF(Meters!$D$1=3,T27,W27+X27)</f>
        <v>4116.026457739285</v>
      </c>
      <c r="Z27" s="16">
        <f t="shared" si="2"/>
        <v>0</v>
      </c>
      <c r="AA27" s="16">
        <f t="shared" si="6"/>
        <v>980788.716973905</v>
      </c>
      <c r="AB27" s="16">
        <f t="shared" si="7"/>
        <v>-234.0858561137298</v>
      </c>
      <c r="AC27" s="14">
        <f t="shared" si="8"/>
        <v>0.81</v>
      </c>
      <c r="AD27" s="16">
        <f>(N27-VLOOKUP(N27,'Bullard B Table'!$A$4:$B$67,1))*((VLOOKUP(N27+100,'Bullard B Table'!$A$4:$B$67,2)-VLOOKUP(N27,'Bullard B Table'!$A$4:$B$67,2))/100)+VLOOKUP(N27,'Bullard B Table'!$A$4:$B$67,2)+2*(PI())*(0.00000000006673)*N27*2670*100000</f>
        <v>85.85609105335831</v>
      </c>
      <c r="AE27" s="25">
        <v>0.468</v>
      </c>
      <c r="AF27" s="8">
        <f>Y27-'Absolute Base'!$B$16+'Absolute Base'!$B$6+Z27</f>
        <v>980523.5546577392</v>
      </c>
      <c r="AG27" s="67">
        <f t="shared" si="9"/>
        <v>-115.65455110534094</v>
      </c>
      <c r="AH27" s="60"/>
      <c r="AI27" s="8"/>
      <c r="AK27" s="63"/>
      <c r="AL27" s="63"/>
      <c r="AM27" s="63"/>
      <c r="AN27" s="63"/>
      <c r="AO27" s="63"/>
      <c r="AP27" s="63"/>
    </row>
    <row r="28" spans="1:42" s="14" customFormat="1" ht="12.75">
      <c r="A28" s="21" t="s">
        <v>79</v>
      </c>
      <c r="B28" s="22">
        <v>38242</v>
      </c>
      <c r="C28" s="23">
        <v>17</v>
      </c>
      <c r="D28" s="24">
        <v>15</v>
      </c>
      <c r="E28" s="41">
        <f t="shared" si="0"/>
        <v>10.066666666666666</v>
      </c>
      <c r="F28" s="21">
        <v>46</v>
      </c>
      <c r="G28" s="21">
        <v>51</v>
      </c>
      <c r="H28" s="21">
        <v>57.46592</v>
      </c>
      <c r="I28" s="21">
        <v>117</v>
      </c>
      <c r="J28" s="21">
        <v>6</v>
      </c>
      <c r="K28" s="21">
        <v>53.36055</v>
      </c>
      <c r="L28" s="15">
        <f t="shared" si="3"/>
        <v>46.86596275555556</v>
      </c>
      <c r="M28" s="15">
        <f t="shared" si="4"/>
        <v>-117.11482237499999</v>
      </c>
      <c r="N28" s="25">
        <v>761.129</v>
      </c>
      <c r="O28" s="21">
        <v>4003.97</v>
      </c>
      <c r="P28" s="8">
        <f>(O28-VLOOKUP(O28,'Calib. Table'!$A$5:$C$75,1))*(VLOOKUP(O28,'Calib. Table'!$A$5:$C$75,3))+VLOOKUP(O28,'Calib. Table'!$A$5:$C$75,2)</f>
        <v>4097.7107189</v>
      </c>
      <c r="Q28" s="21">
        <v>18.251</v>
      </c>
      <c r="R28" s="51"/>
      <c r="S28" s="16"/>
      <c r="T28" s="16"/>
      <c r="U28" s="20">
        <f>IF(Meters!$D$1=1,P28+Q28,IF(Meters!D$1=2,S28,IF(Meters!$D$1=3,T28)))</f>
        <v>4115.9617189</v>
      </c>
      <c r="V28" s="21">
        <v>0.086</v>
      </c>
      <c r="W28" s="8">
        <f t="shared" si="5"/>
        <v>4116.0477189</v>
      </c>
      <c r="X28" s="25">
        <f t="shared" si="1"/>
        <v>0.03550297619035194</v>
      </c>
      <c r="Y28" s="8">
        <f>IF(Meters!$D$1=3,T28,W28+X28)</f>
        <v>4116.083221876191</v>
      </c>
      <c r="Z28" s="16">
        <f t="shared" si="2"/>
        <v>0</v>
      </c>
      <c r="AA28" s="16">
        <f t="shared" si="6"/>
        <v>980788.7162985716</v>
      </c>
      <c r="AB28" s="16">
        <f t="shared" si="7"/>
        <v>-234.79307530273135</v>
      </c>
      <c r="AC28" s="14">
        <f t="shared" si="8"/>
        <v>0.81</v>
      </c>
      <c r="AD28" s="16">
        <f>(N28-VLOOKUP(N28,'Bullard B Table'!$A$4:$B$67,1))*((VLOOKUP(N28+100,'Bullard B Table'!$A$4:$B$67,2)-VLOOKUP(N28,'Bullard B Table'!$A$4:$B$67,2))/100)+VLOOKUP(N28,'Bullard B Table'!$A$4:$B$67,2)+2*(PI())*(0.00000000006673)*N28*2670*100000</f>
        <v>86.11491789313048</v>
      </c>
      <c r="AE28" s="25">
        <v>0.982</v>
      </c>
      <c r="AF28" s="8">
        <f>Y28-'Absolute Base'!$B$16+'Absolute Base'!$B$6+Z28</f>
        <v>980523.6114218761</v>
      </c>
      <c r="AG28" s="67">
        <f t="shared" si="9"/>
        <v>-114.63471928576473</v>
      </c>
      <c r="AH28" s="60"/>
      <c r="AI28" s="8"/>
      <c r="AK28" s="63"/>
      <c r="AL28" s="63"/>
      <c r="AM28" s="63"/>
      <c r="AN28" s="63"/>
      <c r="AO28" s="63"/>
      <c r="AP28" s="63"/>
    </row>
    <row r="29" spans="1:42" s="14" customFormat="1" ht="12.75">
      <c r="A29" s="21" t="s">
        <v>80</v>
      </c>
      <c r="B29" s="22">
        <v>38242</v>
      </c>
      <c r="C29" s="23">
        <v>17</v>
      </c>
      <c r="D29" s="24">
        <v>28</v>
      </c>
      <c r="E29" s="41">
        <f t="shared" si="0"/>
        <v>10.283333333333331</v>
      </c>
      <c r="F29" s="21">
        <v>46</v>
      </c>
      <c r="G29" s="21">
        <v>51</v>
      </c>
      <c r="H29" s="21">
        <v>57.58444</v>
      </c>
      <c r="I29" s="21">
        <v>117</v>
      </c>
      <c r="J29" s="21">
        <v>7</v>
      </c>
      <c r="K29" s="21">
        <v>7.53412</v>
      </c>
      <c r="L29" s="15">
        <f t="shared" si="3"/>
        <v>46.86599567777778</v>
      </c>
      <c r="M29" s="15">
        <f t="shared" si="4"/>
        <v>-117.11875947777777</v>
      </c>
      <c r="N29" s="25">
        <v>767.655</v>
      </c>
      <c r="O29" s="21">
        <v>4003.97</v>
      </c>
      <c r="P29" s="8">
        <f>(O29-VLOOKUP(O29,'Calib. Table'!$A$5:$C$75,1))*(VLOOKUP(O29,'Calib. Table'!$A$5:$C$75,3))+VLOOKUP(O29,'Calib. Table'!$A$5:$C$75,2)</f>
        <v>4097.7107189</v>
      </c>
      <c r="Q29" s="21">
        <v>17.111</v>
      </c>
      <c r="R29" s="51"/>
      <c r="S29" s="16"/>
      <c r="T29" s="16"/>
      <c r="U29" s="20">
        <f>IF(Meters!$D$1=1,P29+Q29,IF(Meters!D$1=2,S29,IF(Meters!$D$1=3,T29)))</f>
        <v>4114.8217189</v>
      </c>
      <c r="V29" s="21">
        <v>0.087</v>
      </c>
      <c r="W29" s="8">
        <f t="shared" si="5"/>
        <v>4114.9087189</v>
      </c>
      <c r="X29" s="25">
        <f t="shared" si="1"/>
        <v>0.036267113095111166</v>
      </c>
      <c r="Y29" s="8">
        <f>IF(Meters!$D$1=3,T29,W29+X29)</f>
        <v>4114.944986013095</v>
      </c>
      <c r="Z29" s="16">
        <f t="shared" si="2"/>
        <v>0</v>
      </c>
      <c r="AA29" s="16">
        <f t="shared" si="6"/>
        <v>980788.7192729501</v>
      </c>
      <c r="AB29" s="16">
        <f t="shared" si="7"/>
        <v>-236.80585427429094</v>
      </c>
      <c r="AC29" s="14">
        <f t="shared" si="8"/>
        <v>0.81</v>
      </c>
      <c r="AD29" s="16">
        <f>(N29-VLOOKUP(N29,'Bullard B Table'!$A$4:$B$67,1))*((VLOOKUP(N29+100,'Bullard B Table'!$A$4:$B$67,2)-VLOOKUP(N29,'Bullard B Table'!$A$4:$B$67,2))/100)+VLOOKUP(N29,'Bullard B Table'!$A$4:$B$67,2)+2*(PI())*(0.00000000006673)*N29*2670*100000</f>
        <v>86.85155285010961</v>
      </c>
      <c r="AE29" s="25">
        <v>0.586</v>
      </c>
      <c r="AF29" s="8">
        <f>Y29-'Absolute Base'!$B$16+'Absolute Base'!$B$6+Z29</f>
        <v>980522.473186013</v>
      </c>
      <c r="AG29" s="67">
        <f t="shared" si="9"/>
        <v>-114.8957855127519</v>
      </c>
      <c r="AH29" s="60"/>
      <c r="AI29" s="8"/>
      <c r="AK29" s="63"/>
      <c r="AL29" s="63"/>
      <c r="AM29" s="63"/>
      <c r="AN29" s="63"/>
      <c r="AO29" s="63"/>
      <c r="AP29" s="63"/>
    </row>
    <row r="30" spans="1:42" s="14" customFormat="1" ht="12.75">
      <c r="A30" s="21" t="s">
        <v>81</v>
      </c>
      <c r="B30" s="22">
        <v>38242</v>
      </c>
      <c r="C30" s="23">
        <v>17</v>
      </c>
      <c r="D30" s="24">
        <v>40</v>
      </c>
      <c r="E30" s="41">
        <f t="shared" si="0"/>
        <v>10.483333333333334</v>
      </c>
      <c r="F30" s="21">
        <v>46</v>
      </c>
      <c r="G30" s="21">
        <v>51</v>
      </c>
      <c r="H30" s="21">
        <v>57.56324</v>
      </c>
      <c r="I30" s="21">
        <v>117</v>
      </c>
      <c r="J30" s="21">
        <v>7</v>
      </c>
      <c r="K30" s="21">
        <v>21.70483</v>
      </c>
      <c r="L30" s="15">
        <f t="shared" si="3"/>
        <v>46.86598978888889</v>
      </c>
      <c r="M30" s="15">
        <f t="shared" si="4"/>
        <v>-117.12269578611111</v>
      </c>
      <c r="N30" s="25">
        <v>761.911</v>
      </c>
      <c r="O30" s="21">
        <v>4003.97</v>
      </c>
      <c r="P30" s="8">
        <f>(O30-VLOOKUP(O30,'Calib. Table'!$A$5:$C$75,1))*(VLOOKUP(O30,'Calib. Table'!$A$5:$C$75,3))+VLOOKUP(O30,'Calib. Table'!$A$5:$C$75,2)</f>
        <v>4097.7107189</v>
      </c>
      <c r="Q30" s="21">
        <v>19.131</v>
      </c>
      <c r="R30" s="51"/>
      <c r="S30" s="16"/>
      <c r="T30" s="16"/>
      <c r="U30" s="20">
        <f>IF(Meters!$D$1=1,P30+Q30,IF(Meters!D$1=2,S30,IF(Meters!$D$1=3,T30)))</f>
        <v>4116.8417189</v>
      </c>
      <c r="V30" s="21">
        <v>0.088</v>
      </c>
      <c r="W30" s="8">
        <f t="shared" si="5"/>
        <v>4116.9297189</v>
      </c>
      <c r="X30" s="25">
        <f t="shared" si="1"/>
        <v>0.03697247023796585</v>
      </c>
      <c r="Y30" s="8">
        <f>IF(Meters!$D$1=3,T30,W30+X30)</f>
        <v>4116.966691370238</v>
      </c>
      <c r="Z30" s="16">
        <f t="shared" si="2"/>
        <v>0</v>
      </c>
      <c r="AA30" s="16">
        <f t="shared" si="6"/>
        <v>980788.7187409147</v>
      </c>
      <c r="AB30" s="16">
        <f t="shared" si="7"/>
        <v>-235.034263533172</v>
      </c>
      <c r="AC30" s="14">
        <f t="shared" si="8"/>
        <v>0.81</v>
      </c>
      <c r="AD30" s="16">
        <f>(N30-VLOOKUP(N30,'Bullard B Table'!$A$4:$B$67,1))*((VLOOKUP(N30+100,'Bullard B Table'!$A$4:$B$67,2)-VLOOKUP(N30,'Bullard B Table'!$A$4:$B$67,2))/100)+VLOOKUP(N30,'Bullard B Table'!$A$4:$B$67,2)+2*(PI())*(0.00000000006673)*N30*2670*100000</f>
        <v>86.20318766578717</v>
      </c>
      <c r="AE30" s="25">
        <v>0.454</v>
      </c>
      <c r="AF30" s="8">
        <f>Y30-'Absolute Base'!$B$16+'Absolute Base'!$B$6+Z30</f>
        <v>980524.4948913702</v>
      </c>
      <c r="AG30" s="67">
        <f t="shared" si="9"/>
        <v>-114.12877367704641</v>
      </c>
      <c r="AH30" s="60"/>
      <c r="AI30" s="8"/>
      <c r="AK30" s="63"/>
      <c r="AL30" s="63"/>
      <c r="AM30" s="63"/>
      <c r="AN30" s="63"/>
      <c r="AO30" s="63"/>
      <c r="AP30" s="63"/>
    </row>
    <row r="31" spans="1:42" s="14" customFormat="1" ht="12.75">
      <c r="A31" s="21" t="s">
        <v>82</v>
      </c>
      <c r="B31" s="22">
        <v>38242</v>
      </c>
      <c r="C31" s="23">
        <v>17</v>
      </c>
      <c r="D31" s="24">
        <v>46</v>
      </c>
      <c r="E31" s="41">
        <f t="shared" si="0"/>
        <v>10.583333333333332</v>
      </c>
      <c r="F31" s="21">
        <v>46</v>
      </c>
      <c r="G31" s="21">
        <v>51</v>
      </c>
      <c r="H31" s="21">
        <v>57.50281</v>
      </c>
      <c r="I31" s="21">
        <v>117</v>
      </c>
      <c r="J31" s="21">
        <v>7</v>
      </c>
      <c r="K31" s="21">
        <v>35.89263</v>
      </c>
      <c r="L31" s="15">
        <f t="shared" si="3"/>
        <v>46.86597300277778</v>
      </c>
      <c r="M31" s="15">
        <f t="shared" si="4"/>
        <v>-117.12663684166667</v>
      </c>
      <c r="N31" s="25">
        <v>739.817</v>
      </c>
      <c r="O31" s="21">
        <v>4003.97</v>
      </c>
      <c r="P31" s="8">
        <f>(O31-VLOOKUP(O31,'Calib. Table'!$A$5:$C$75,1))*(VLOOKUP(O31,'Calib. Table'!$A$5:$C$75,3))+VLOOKUP(O31,'Calib. Table'!$A$5:$C$75,2)</f>
        <v>4097.7107189</v>
      </c>
      <c r="Q31" s="21">
        <v>24.674</v>
      </c>
      <c r="R31" s="51"/>
      <c r="S31" s="16"/>
      <c r="T31" s="16"/>
      <c r="U31" s="20">
        <f>IF(Meters!$D$1=1,P31+Q31,IF(Meters!D$1=2,S31,IF(Meters!$D$1=3,T31)))</f>
        <v>4122.3847189</v>
      </c>
      <c r="V31" s="21">
        <v>0.088</v>
      </c>
      <c r="W31" s="8">
        <f t="shared" si="5"/>
        <v>4122.4727189</v>
      </c>
      <c r="X31" s="25">
        <f t="shared" si="1"/>
        <v>0.03732514880939318</v>
      </c>
      <c r="Y31" s="8">
        <f>IF(Meters!$D$1=3,T31,W31+X31)</f>
        <v>4122.510044048809</v>
      </c>
      <c r="Z31" s="16">
        <f t="shared" si="2"/>
        <v>0</v>
      </c>
      <c r="AA31" s="16">
        <f t="shared" si="6"/>
        <v>980788.717224363</v>
      </c>
      <c r="AB31" s="16">
        <f t="shared" si="7"/>
        <v>-228.21988664227268</v>
      </c>
      <c r="AC31" s="14">
        <f t="shared" si="8"/>
        <v>0.81</v>
      </c>
      <c r="AD31" s="16">
        <f>(N31-VLOOKUP(N31,'Bullard B Table'!$A$4:$B$67,1))*((VLOOKUP(N31+100,'Bullard B Table'!$A$4:$B$67,2)-VLOOKUP(N31,'Bullard B Table'!$A$4:$B$67,2))/100)+VLOOKUP(N31,'Bullard B Table'!$A$4:$B$67,2)+2*(PI())*(0.00000000006673)*N31*2670*100000</f>
        <v>83.70928439586733</v>
      </c>
      <c r="AE31" s="25">
        <v>1.182</v>
      </c>
      <c r="AF31" s="8">
        <f>Y31-'Absolute Base'!$B$16+'Absolute Base'!$B$6+Z31</f>
        <v>980530.0382440487</v>
      </c>
      <c r="AG31" s="67">
        <f t="shared" si="9"/>
        <v>-112.17637806781568</v>
      </c>
      <c r="AH31" s="60"/>
      <c r="AI31" s="8"/>
      <c r="AK31" s="63"/>
      <c r="AL31" s="63"/>
      <c r="AM31" s="63"/>
      <c r="AN31" s="63"/>
      <c r="AO31" s="63"/>
      <c r="AP31" s="63"/>
    </row>
    <row r="32" spans="1:38" s="14" customFormat="1" ht="12.75">
      <c r="A32" s="21" t="s">
        <v>83</v>
      </c>
      <c r="B32" s="22">
        <v>38242</v>
      </c>
      <c r="C32" s="23">
        <v>18</v>
      </c>
      <c r="D32" s="24">
        <v>0</v>
      </c>
      <c r="E32" s="41">
        <f t="shared" si="0"/>
        <v>10.816666666666666</v>
      </c>
      <c r="F32" s="21">
        <v>46</v>
      </c>
      <c r="G32" s="21">
        <v>51</v>
      </c>
      <c r="H32" s="21">
        <v>57.56403</v>
      </c>
      <c r="I32" s="21">
        <v>117</v>
      </c>
      <c r="J32" s="21">
        <v>7</v>
      </c>
      <c r="K32" s="21">
        <v>50.08361</v>
      </c>
      <c r="L32" s="15">
        <f t="shared" si="3"/>
        <v>46.865990008333334</v>
      </c>
      <c r="M32" s="15">
        <f t="shared" si="4"/>
        <v>-117.13057878055555</v>
      </c>
      <c r="N32" s="25">
        <v>774.9</v>
      </c>
      <c r="O32" s="21">
        <v>4003.97</v>
      </c>
      <c r="P32" s="8">
        <f>(O32-VLOOKUP(O32,'Calib. Table'!$A$5:$C$75,1))*(VLOOKUP(O32,'Calib. Table'!$A$5:$C$75,3))+VLOOKUP(O32,'Calib. Table'!$A$5:$C$75,2)</f>
        <v>4097.7107189</v>
      </c>
      <c r="Q32" s="21">
        <v>18.121</v>
      </c>
      <c r="R32" s="51"/>
      <c r="S32" s="16"/>
      <c r="T32" s="16"/>
      <c r="U32" s="20">
        <f>IF(Meters!$D$1=1,P32+Q32,IF(Meters!D$1=2,S32,IF(Meters!$D$1=3,T32)))</f>
        <v>4115.8317189</v>
      </c>
      <c r="V32" s="21">
        <v>0.088</v>
      </c>
      <c r="W32" s="8">
        <f t="shared" si="5"/>
        <v>4115.9197189</v>
      </c>
      <c r="X32" s="25">
        <f t="shared" si="1"/>
        <v>0.038148065476056967</v>
      </c>
      <c r="Y32" s="8">
        <f>IF(Meters!$D$1=3,T32,W32+X32)</f>
        <v>4115.957866965476</v>
      </c>
      <c r="Z32" s="16">
        <f t="shared" si="2"/>
        <v>0</v>
      </c>
      <c r="AA32" s="16">
        <f t="shared" si="6"/>
        <v>980788.7187607406</v>
      </c>
      <c r="AB32" s="16">
        <f t="shared" si="7"/>
        <v>-239.04038358749665</v>
      </c>
      <c r="AC32" s="14">
        <f t="shared" si="8"/>
        <v>0.8</v>
      </c>
      <c r="AD32" s="16">
        <f>(N32-VLOOKUP(N32,'Bullard B Table'!$A$4:$B$67,1))*((VLOOKUP(N32+100,'Bullard B Table'!$A$4:$B$67,2)-VLOOKUP(N32,'Bullard B Table'!$A$4:$B$67,2))/100)+VLOOKUP(N32,'Bullard B Table'!$A$4:$B$67,2)+2*(PI())*(0.00000000006673)*N32*2670*100000</f>
        <v>87.66934633207617</v>
      </c>
      <c r="AE32" s="25">
        <v>2.002</v>
      </c>
      <c r="AF32" s="8">
        <f>Y32-'Absolute Base'!$B$16+'Absolute Base'!$B$6+Z32</f>
        <v>980523.4860669654</v>
      </c>
      <c r="AG32" s="67">
        <f t="shared" si="9"/>
        <v>-111.05965651979204</v>
      </c>
      <c r="AH32" s="8"/>
      <c r="AI32" s="8"/>
      <c r="AL32" s="63"/>
    </row>
    <row r="33" spans="1:38" s="14" customFormat="1" ht="12.75">
      <c r="A33" s="21" t="s">
        <v>84</v>
      </c>
      <c r="B33" s="22">
        <v>38242</v>
      </c>
      <c r="C33" s="23">
        <v>18</v>
      </c>
      <c r="D33" s="24">
        <v>9</v>
      </c>
      <c r="E33" s="41">
        <f t="shared" si="0"/>
        <v>10.966666666666665</v>
      </c>
      <c r="F33" s="21">
        <v>46</v>
      </c>
      <c r="G33" s="21">
        <v>51</v>
      </c>
      <c r="H33" s="21">
        <v>57.32972</v>
      </c>
      <c r="I33" s="21">
        <v>117</v>
      </c>
      <c r="J33" s="21">
        <v>8</v>
      </c>
      <c r="K33" s="21">
        <v>4.24473</v>
      </c>
      <c r="L33" s="15">
        <f t="shared" si="3"/>
        <v>46.86592492222223</v>
      </c>
      <c r="M33" s="15">
        <f t="shared" si="4"/>
        <v>-117.13451242500001</v>
      </c>
      <c r="N33" s="25">
        <v>804.734</v>
      </c>
      <c r="O33" s="21">
        <v>4003.97</v>
      </c>
      <c r="P33" s="8">
        <f>(O33-VLOOKUP(O33,'Calib. Table'!$A$5:$C$75,1))*(VLOOKUP(O33,'Calib. Table'!$A$5:$C$75,3))+VLOOKUP(O33,'Calib. Table'!$A$5:$C$75,2)</f>
        <v>4097.7107189</v>
      </c>
      <c r="Q33" s="21">
        <v>12.457</v>
      </c>
      <c r="R33" s="51"/>
      <c r="S33" s="16"/>
      <c r="T33" s="16"/>
      <c r="U33" s="20">
        <f>IF(Meters!$D$1=1,P33+Q33,IF(Meters!D$1=2,S33,IF(Meters!$D$1=3,T33)))</f>
        <v>4110.1677189</v>
      </c>
      <c r="V33" s="21">
        <v>0.088</v>
      </c>
      <c r="W33" s="8">
        <f t="shared" si="5"/>
        <v>4110.2557189</v>
      </c>
      <c r="X33" s="25">
        <f t="shared" si="1"/>
        <v>0.03867708333319797</v>
      </c>
      <c r="Y33" s="8">
        <f>IF(Meters!$D$1=3,T33,W33+X33)</f>
        <v>4110.294395983333</v>
      </c>
      <c r="Z33" s="16">
        <f t="shared" si="2"/>
        <v>0</v>
      </c>
      <c r="AA33" s="16">
        <f t="shared" si="6"/>
        <v>980788.7128804956</v>
      </c>
      <c r="AB33" s="16">
        <f t="shared" si="7"/>
        <v>-248.24181511170866</v>
      </c>
      <c r="AC33" s="14">
        <f t="shared" si="8"/>
        <v>0.8</v>
      </c>
      <c r="AD33" s="16">
        <f>(N33-VLOOKUP(N33,'Bullard B Table'!$A$4:$B$67,1))*((VLOOKUP(N33+100,'Bullard B Table'!$A$4:$B$67,2)-VLOOKUP(N33,'Bullard B Table'!$A$4:$B$67,2))/100)+VLOOKUP(N33,'Bullard B Table'!$A$4:$B$67,2)+2*(PI())*(0.00000000006673)*N33*2670*100000</f>
        <v>91.0366331327926</v>
      </c>
      <c r="AE33" s="25">
        <v>2.662</v>
      </c>
      <c r="AF33" s="8">
        <f>Y33-'Absolute Base'!$B$16+'Absolute Base'!$B$6+Z33</f>
        <v>980517.8225959833</v>
      </c>
      <c r="AG33" s="67">
        <f t="shared" si="9"/>
        <v>-110.22310253337491</v>
      </c>
      <c r="AH33" s="8"/>
      <c r="AI33" s="8"/>
      <c r="AL33" s="63"/>
    </row>
    <row r="34" spans="1:38" s="14" customFormat="1" ht="12.75">
      <c r="A34" s="42" t="s">
        <v>48</v>
      </c>
      <c r="B34" s="39">
        <v>38242</v>
      </c>
      <c r="C34" s="49">
        <v>18</v>
      </c>
      <c r="D34" s="50">
        <v>23</v>
      </c>
      <c r="E34" s="40">
        <f t="shared" si="0"/>
        <v>11.2</v>
      </c>
      <c r="F34" s="42">
        <v>46</v>
      </c>
      <c r="G34" s="42">
        <v>51</v>
      </c>
      <c r="H34" s="42">
        <v>32.41159</v>
      </c>
      <c r="I34" s="42">
        <v>117</v>
      </c>
      <c r="J34" s="42">
        <v>7</v>
      </c>
      <c r="K34" s="42">
        <v>56.68086</v>
      </c>
      <c r="L34" s="53">
        <f t="shared" si="3"/>
        <v>46.859003219444446</v>
      </c>
      <c r="M34" s="53">
        <f t="shared" si="4"/>
        <v>-117.13241135</v>
      </c>
      <c r="N34" s="43">
        <v>736.334</v>
      </c>
      <c r="O34" s="42">
        <v>4003.97</v>
      </c>
      <c r="P34" s="56">
        <f>(O34-VLOOKUP(O34,'Calib. Table'!$A$5:$C$75,1))*(VLOOKUP(O34,'Calib. Table'!$A$5:$C$75,3))+VLOOKUP(O34,'Calib. Table'!$A$5:$C$75,2)</f>
        <v>4097.7107189</v>
      </c>
      <c r="Q34" s="42">
        <v>24.552</v>
      </c>
      <c r="R34" s="57"/>
      <c r="S34" s="54"/>
      <c r="T34" s="54"/>
      <c r="U34" s="58">
        <f>IF(Meters!$D$1=1,P34+Q34,IF(Meters!D$1=2,S34,IF(Meters!$D$1=3,T34)))</f>
        <v>4122.2627188999995</v>
      </c>
      <c r="V34" s="42">
        <v>0.086</v>
      </c>
      <c r="W34" s="56">
        <f t="shared" si="5"/>
        <v>4122.3487189</v>
      </c>
      <c r="X34" s="43">
        <f t="shared" si="1"/>
        <v>0.03949999999986176</v>
      </c>
      <c r="Y34" s="56">
        <f>IF(Meters!$D$1=3,T34,W34+X34)</f>
        <v>4122.3882189</v>
      </c>
      <c r="Z34" s="54">
        <f t="shared" si="2"/>
        <v>0</v>
      </c>
      <c r="AA34" s="54">
        <f t="shared" si="6"/>
        <v>980788.0875303483</v>
      </c>
      <c r="AB34" s="54">
        <f t="shared" si="7"/>
        <v>-227.14566972640597</v>
      </c>
      <c r="AC34" s="55">
        <f t="shared" si="8"/>
        <v>0.81</v>
      </c>
      <c r="AD34" s="54">
        <f>(N34-VLOOKUP(N34,'Bullard B Table'!$A$4:$B$67,1))*((VLOOKUP(N34+100,'Bullard B Table'!$A$4:$B$67,2)-VLOOKUP(N34,'Bullard B Table'!$A$4:$B$67,2))/100)+VLOOKUP(N34,'Bullard B Table'!$A$4:$B$67,2)+2*(PI())*(0.00000000006673)*N34*2670*100000</f>
        <v>83.31613398900885</v>
      </c>
      <c r="AE34" s="43">
        <v>0.959</v>
      </c>
      <c r="AF34" s="56">
        <f>Y34-'Absolute Base'!$B$16+'Absolute Base'!$B$6+Z34</f>
        <v>980529.9164189</v>
      </c>
      <c r="AG34" s="66">
        <f t="shared" si="9"/>
        <v>-112.57257571083028</v>
      </c>
      <c r="AH34" s="8"/>
      <c r="AI34" s="8"/>
      <c r="AL34" s="63"/>
    </row>
    <row r="35" spans="1:38" s="14" customFormat="1" ht="12.75">
      <c r="A35" s="42" t="s">
        <v>49</v>
      </c>
      <c r="B35" s="39">
        <v>38249</v>
      </c>
      <c r="C35" s="49">
        <v>9</v>
      </c>
      <c r="D35" s="50">
        <v>10</v>
      </c>
      <c r="E35" s="40">
        <f>((B35-$B$35)*24)+((C35+(D35/60))-($C$35+($D$35/60)))</f>
        <v>0</v>
      </c>
      <c r="F35" s="42">
        <v>46</v>
      </c>
      <c r="G35" s="42">
        <v>51</v>
      </c>
      <c r="H35" s="42">
        <v>32.41159</v>
      </c>
      <c r="I35" s="42">
        <v>117</v>
      </c>
      <c r="J35" s="42">
        <v>7</v>
      </c>
      <c r="K35" s="42">
        <v>56.68086</v>
      </c>
      <c r="L35" s="53">
        <f aca="true" t="shared" si="10" ref="L35:L70">F35+(G35/60)+(H35/3600)</f>
        <v>46.859003219444446</v>
      </c>
      <c r="M35" s="53">
        <f aca="true" t="shared" si="11" ref="M35:M70">-1*(I35+(J35/60)+(K35/3600))</f>
        <v>-117.13241135</v>
      </c>
      <c r="N35" s="43">
        <v>736.334</v>
      </c>
      <c r="O35" s="42">
        <v>4007.86</v>
      </c>
      <c r="P35" s="56">
        <f>(O35-VLOOKUP(O35,'Calib. Table'!$A$5:$C$75,1))*(VLOOKUP(O35,'Calib. Table'!$A$5:$C$75,3))+VLOOKUP(O35,'Calib. Table'!$A$5:$C$75,2)</f>
        <v>4101.6994082</v>
      </c>
      <c r="Q35" s="42">
        <v>20.235</v>
      </c>
      <c r="R35" s="59"/>
      <c r="S35" s="54"/>
      <c r="T35" s="54"/>
      <c r="U35" s="58">
        <f>IF(Meters!$D$1=1,P35+Q35,IF(Meters!D$1=2,S35,IF(Meters!$D$1=3,T35)))</f>
        <v>4121.9344082</v>
      </c>
      <c r="V35" s="42">
        <v>0.022</v>
      </c>
      <c r="W35" s="56">
        <f t="shared" si="5"/>
        <v>4121.9564082</v>
      </c>
      <c r="X35" s="43">
        <f aca="true" t="shared" si="12" ref="X35:X58">(($W$35-$W$58)/$E$58)*E35</f>
        <v>0</v>
      </c>
      <c r="Y35" s="56">
        <f>IF(Meters!$D$1=3,T35,W35+X35)</f>
        <v>4121.9564082</v>
      </c>
      <c r="Z35" s="54">
        <f>$Y$34-$Y$35</f>
        <v>0.4318106999999145</v>
      </c>
      <c r="AA35" s="54">
        <f aca="true" t="shared" si="13" ref="AA35:AA70">100000*9.7803267714*((1+0.00193185138639*(SIN(L35*(PI()/180)))^2)/(SQRT(1-0.00669437999013*(SIN(L35*(PI()/180)))^2)))</f>
        <v>980788.0875303483</v>
      </c>
      <c r="AB35" s="54">
        <f aca="true" t="shared" si="14" ref="AB35:AB70">-0.308769097*N35+0.000439773125*N35*((SIN(L35*(PI()/180)))^2)+0.0000000721251838*N35^2</f>
        <v>-227.14566972640597</v>
      </c>
      <c r="AC35" s="55">
        <f aca="true" t="shared" si="15" ref="AC35:AC70">ROUNDUP((0.874-0.000099*N35+0.00000000356*N35^2),2)</f>
        <v>0.81</v>
      </c>
      <c r="AD35" s="54">
        <f>(N35-VLOOKUP(N35,'Bullard B Table'!$A$4:$B$67,1))*((VLOOKUP(N35+100,'Bullard B Table'!$A$4:$B$67,2)-VLOOKUP(N35,'Bullard B Table'!$A$4:$B$67,2))/100)+VLOOKUP(N35,'Bullard B Table'!$A$4:$B$67,2)+2*(PI())*(0.00000000006673)*N35*2670*100000</f>
        <v>83.31613398900885</v>
      </c>
      <c r="AE35" s="42">
        <v>0.959</v>
      </c>
      <c r="AF35" s="56">
        <f>Y35-'Absolute Base'!$B$16+'Absolute Base'!$B$6+Z35</f>
        <v>980529.9164188999</v>
      </c>
      <c r="AG35" s="66">
        <f aca="true" t="shared" si="16" ref="AG35:AG70">AF35-(AA35+AB35-AC35+AD35-AE35)</f>
        <v>-112.5725757109467</v>
      </c>
      <c r="AL35" s="63"/>
    </row>
    <row r="36" spans="1:38" s="14" customFormat="1" ht="12.75">
      <c r="A36" s="21" t="s">
        <v>85</v>
      </c>
      <c r="B36" s="22">
        <v>38249</v>
      </c>
      <c r="C36" s="23">
        <v>9</v>
      </c>
      <c r="D36" s="24">
        <v>39</v>
      </c>
      <c r="E36" s="41">
        <f aca="true" t="shared" si="17" ref="E36:E58">((B36-$B$35)*24)+((C36+(D36/60))-($C$35+($D$35/60)))</f>
        <v>0.4833333333333343</v>
      </c>
      <c r="F36" s="21">
        <v>46</v>
      </c>
      <c r="G36" s="21">
        <v>52</v>
      </c>
      <c r="H36" s="21">
        <v>31.65865</v>
      </c>
      <c r="I36" s="21">
        <v>117</v>
      </c>
      <c r="J36" s="21">
        <v>3</v>
      </c>
      <c r="K36" s="21">
        <v>25.20513</v>
      </c>
      <c r="L36" s="15">
        <f t="shared" si="10"/>
        <v>46.87546073611111</v>
      </c>
      <c r="M36" s="15">
        <f t="shared" si="11"/>
        <v>-117.057001425</v>
      </c>
      <c r="N36" s="25">
        <v>819.737</v>
      </c>
      <c r="O36" s="21">
        <v>4007.86</v>
      </c>
      <c r="P36" s="8">
        <f>(O36-VLOOKUP(O36,'Calib. Table'!$A$5:$C$75,1))*(VLOOKUP(O36,'Calib. Table'!$A$5:$C$75,3))+VLOOKUP(O36,'Calib. Table'!$A$5:$C$75,2)</f>
        <v>4101.6994082</v>
      </c>
      <c r="Q36" s="21">
        <v>5.143</v>
      </c>
      <c r="R36" s="52"/>
      <c r="S36" s="16"/>
      <c r="T36" s="16"/>
      <c r="U36" s="20">
        <f>IF(Meters!$D$1=1,P36+Q36,IF(Meters!D$1=2,S36,IF(Meters!$D$1=3,T36)))</f>
        <v>4106.8424082</v>
      </c>
      <c r="V36" s="21">
        <v>0.032</v>
      </c>
      <c r="W36" s="8">
        <f t="shared" si="5"/>
        <v>4106.8744082</v>
      </c>
      <c r="X36" s="25">
        <f t="shared" si="12"/>
        <v>-0.03580792682924584</v>
      </c>
      <c r="Y36" s="8">
        <f>IF(Meters!$D$1=3,T36,W36+X36)</f>
        <v>4106.838600273171</v>
      </c>
      <c r="Z36" s="16">
        <f aca="true" t="shared" si="18" ref="Z36:Z58">$Y$34-$Y$35</f>
        <v>0.4318106999999145</v>
      </c>
      <c r="AA36" s="16">
        <f t="shared" si="13"/>
        <v>980789.5743908205</v>
      </c>
      <c r="AB36" s="16">
        <f t="shared" si="14"/>
        <v>-252.86894649565218</v>
      </c>
      <c r="AC36" s="14">
        <f t="shared" si="15"/>
        <v>0.8</v>
      </c>
      <c r="AD36" s="16">
        <f>(N36-VLOOKUP(N36,'Bullard B Table'!$A$4:$B$67,1))*((VLOOKUP(N36+100,'Bullard B Table'!$A$4:$B$67,2)-VLOOKUP(N36,'Bullard B Table'!$A$4:$B$67,2))/100)+VLOOKUP(N36,'Bullard B Table'!$A$4:$B$67,2)+2*(PI())*(0.00000000006673)*N36*2670*100000</f>
        <v>92.7292257906041</v>
      </c>
      <c r="AE36" s="21">
        <v>0.754</v>
      </c>
      <c r="AF36" s="8">
        <f>Y36-'Absolute Base'!$B$16+'Absolute Base'!$B$6+Z36</f>
        <v>980514.7986109732</v>
      </c>
      <c r="AG36" s="67">
        <f t="shared" si="16"/>
        <v>-113.08205914217979</v>
      </c>
      <c r="AL36" s="63"/>
    </row>
    <row r="37" spans="1:38" s="14" customFormat="1" ht="12.75">
      <c r="A37" s="21" t="s">
        <v>86</v>
      </c>
      <c r="B37" s="22">
        <v>38249</v>
      </c>
      <c r="C37" s="23">
        <v>9</v>
      </c>
      <c r="D37" s="24">
        <v>50</v>
      </c>
      <c r="E37" s="41">
        <f t="shared" si="17"/>
        <v>0.6666666666666679</v>
      </c>
      <c r="F37" s="21">
        <v>46</v>
      </c>
      <c r="G37" s="21">
        <v>52</v>
      </c>
      <c r="H37" s="21">
        <v>24.23654</v>
      </c>
      <c r="I37" s="21">
        <v>117</v>
      </c>
      <c r="J37" s="21">
        <v>3</v>
      </c>
      <c r="K37" s="21">
        <v>28.64284</v>
      </c>
      <c r="L37" s="15">
        <f t="shared" si="10"/>
        <v>46.87339903888889</v>
      </c>
      <c r="M37" s="15">
        <f t="shared" si="11"/>
        <v>-117.05795634444443</v>
      </c>
      <c r="N37" s="25">
        <v>797.474</v>
      </c>
      <c r="O37" s="21">
        <v>4007.86</v>
      </c>
      <c r="P37" s="8">
        <f>(O37-VLOOKUP(O37,'Calib. Table'!$A$5:$C$75,1))*(VLOOKUP(O37,'Calib. Table'!$A$5:$C$75,3))+VLOOKUP(O37,'Calib. Table'!$A$5:$C$75,2)</f>
        <v>4101.6994082</v>
      </c>
      <c r="Q37" s="21">
        <v>8.24</v>
      </c>
      <c r="R37" s="52"/>
      <c r="S37" s="16"/>
      <c r="T37" s="16"/>
      <c r="U37" s="20">
        <f>IF(Meters!$D$1=1,P37+Q37,IF(Meters!D$1=2,S37,IF(Meters!$D$1=3,T37)))</f>
        <v>4109.9394082</v>
      </c>
      <c r="V37" s="21">
        <v>0.035</v>
      </c>
      <c r="W37" s="8">
        <f t="shared" si="5"/>
        <v>4109.9744082</v>
      </c>
      <c r="X37" s="25">
        <f t="shared" si="12"/>
        <v>-0.04939024390240805</v>
      </c>
      <c r="Y37" s="8">
        <f>IF(Meters!$D$1=3,T37,W37+X37)</f>
        <v>4109.925017956098</v>
      </c>
      <c r="Z37" s="16">
        <f t="shared" si="18"/>
        <v>0.4318106999999145</v>
      </c>
      <c r="AA37" s="16">
        <f t="shared" si="13"/>
        <v>980789.3881288684</v>
      </c>
      <c r="AB37" s="16">
        <f t="shared" si="14"/>
        <v>-246.002645057938</v>
      </c>
      <c r="AC37" s="14">
        <f t="shared" si="15"/>
        <v>0.8</v>
      </c>
      <c r="AD37" s="16">
        <f>(N37-VLOOKUP(N37,'Bullard B Table'!$A$4:$B$67,1))*((VLOOKUP(N37+100,'Bullard B Table'!$A$4:$B$67,2)-VLOOKUP(N37,'Bullard B Table'!$A$4:$B$67,2))/100)+VLOOKUP(N37,'Bullard B Table'!$A$4:$B$67,2)+2*(PI())*(0.00000000006673)*N37*2670*100000</f>
        <v>90.21743053661906</v>
      </c>
      <c r="AE37" s="21">
        <v>1.005</v>
      </c>
      <c r="AF37" s="8">
        <f>Y37-'Absolute Base'!$B$16+'Absolute Base'!$B$6+Z37</f>
        <v>980517.885028656</v>
      </c>
      <c r="AG37" s="67">
        <f t="shared" si="16"/>
        <v>-113.91288569103926</v>
      </c>
      <c r="AL37" s="63"/>
    </row>
    <row r="38" spans="1:38" s="14" customFormat="1" ht="12.75">
      <c r="A38" s="21" t="s">
        <v>87</v>
      </c>
      <c r="B38" s="22">
        <v>38249</v>
      </c>
      <c r="C38" s="23">
        <v>10</v>
      </c>
      <c r="D38" s="24">
        <v>2</v>
      </c>
      <c r="E38" s="41">
        <f t="shared" si="17"/>
        <v>0.8666666666666671</v>
      </c>
      <c r="F38" s="21">
        <v>46</v>
      </c>
      <c r="G38" s="21">
        <v>52</v>
      </c>
      <c r="H38" s="21">
        <v>23.59961</v>
      </c>
      <c r="I38" s="21">
        <v>117</v>
      </c>
      <c r="J38" s="21">
        <v>3</v>
      </c>
      <c r="K38" s="21">
        <v>42.77992</v>
      </c>
      <c r="L38" s="15">
        <f t="shared" si="10"/>
        <v>46.873222113888886</v>
      </c>
      <c r="M38" s="15">
        <f t="shared" si="11"/>
        <v>-117.0618833111111</v>
      </c>
      <c r="N38" s="25">
        <v>764.427</v>
      </c>
      <c r="O38" s="21">
        <v>4007.86</v>
      </c>
      <c r="P38" s="8">
        <f>(O38-VLOOKUP(O38,'Calib. Table'!$A$5:$C$75,1))*(VLOOKUP(O38,'Calib. Table'!$A$5:$C$75,3))+VLOOKUP(O38,'Calib. Table'!$A$5:$C$75,2)</f>
        <v>4101.6994082</v>
      </c>
      <c r="Q38" s="21">
        <v>15.731</v>
      </c>
      <c r="R38" s="52"/>
      <c r="S38" s="16"/>
      <c r="T38" s="16"/>
      <c r="U38" s="20">
        <f>IF(Meters!$D$1=1,P38+Q38,IF(Meters!D$1=2,S38,IF(Meters!$D$1=3,T38)))</f>
        <v>4117.4304082</v>
      </c>
      <c r="V38" s="21">
        <v>0.039</v>
      </c>
      <c r="W38" s="8">
        <f t="shared" si="5"/>
        <v>4117.4694082</v>
      </c>
      <c r="X38" s="25">
        <f t="shared" si="12"/>
        <v>-0.06420731707313039</v>
      </c>
      <c r="Y38" s="8">
        <f>IF(Meters!$D$1=3,T38,W38+X38)</f>
        <v>4117.405200882927</v>
      </c>
      <c r="Z38" s="16">
        <f t="shared" si="18"/>
        <v>0.4318106999999145</v>
      </c>
      <c r="AA38" s="16">
        <f t="shared" si="13"/>
        <v>980789.37214472</v>
      </c>
      <c r="AB38" s="16">
        <f t="shared" si="14"/>
        <v>-235.81021801281346</v>
      </c>
      <c r="AC38" s="14">
        <f t="shared" si="15"/>
        <v>0.81</v>
      </c>
      <c r="AD38" s="16">
        <f>(N38-VLOOKUP(N38,'Bullard B Table'!$A$4:$B$67,1))*((VLOOKUP(N38+100,'Bullard B Table'!$A$4:$B$67,2)-VLOOKUP(N38,'Bullard B Table'!$A$4:$B$67,2))/100)+VLOOKUP(N38,'Bullard B Table'!$A$4:$B$67,2)+2*(PI())*(0.00000000006673)*N38*2670*100000</f>
        <v>86.48718606476965</v>
      </c>
      <c r="AE38" s="21">
        <v>0.895</v>
      </c>
      <c r="AF38" s="8">
        <f>Y38-'Absolute Base'!$B$16+'Absolute Base'!$B$6+Z38</f>
        <v>980525.3652115829</v>
      </c>
      <c r="AG38" s="67">
        <f t="shared" si="16"/>
        <v>-112.97890118916985</v>
      </c>
      <c r="AL38" s="63"/>
    </row>
    <row r="39" spans="1:38" s="14" customFormat="1" ht="12.75">
      <c r="A39" s="21" t="s">
        <v>88</v>
      </c>
      <c r="B39" s="22">
        <v>38249</v>
      </c>
      <c r="C39" s="23">
        <v>10</v>
      </c>
      <c r="D39" s="24">
        <v>16</v>
      </c>
      <c r="E39" s="41">
        <f t="shared" si="17"/>
        <v>1.1000000000000014</v>
      </c>
      <c r="F39" s="21">
        <v>46</v>
      </c>
      <c r="G39" s="21">
        <v>52</v>
      </c>
      <c r="H39" s="21">
        <v>23.86149</v>
      </c>
      <c r="I39" s="21">
        <v>117</v>
      </c>
      <c r="J39" s="21">
        <v>3</v>
      </c>
      <c r="K39" s="21">
        <v>56.97414</v>
      </c>
      <c r="L39" s="15">
        <f t="shared" si="10"/>
        <v>46.87329485833333</v>
      </c>
      <c r="M39" s="15">
        <f t="shared" si="11"/>
        <v>-117.06582614999999</v>
      </c>
      <c r="N39" s="25">
        <v>763.098</v>
      </c>
      <c r="O39" s="21">
        <v>4007.86</v>
      </c>
      <c r="P39" s="8">
        <f>(O39-VLOOKUP(O39,'Calib. Table'!$A$5:$C$75,1))*(VLOOKUP(O39,'Calib. Table'!$A$5:$C$75,3))+VLOOKUP(O39,'Calib. Table'!$A$5:$C$75,2)</f>
        <v>4101.6994082</v>
      </c>
      <c r="Q39" s="21">
        <v>15.198</v>
      </c>
      <c r="R39" s="52"/>
      <c r="S39" s="16"/>
      <c r="T39" s="16"/>
      <c r="U39" s="20">
        <f>IF(Meters!$D$1=1,P39+Q39,IF(Meters!D$1=2,S39,IF(Meters!$D$1=3,T39)))</f>
        <v>4116.8974082</v>
      </c>
      <c r="V39" s="21">
        <v>0.042</v>
      </c>
      <c r="W39" s="8">
        <f t="shared" si="5"/>
        <v>4116.939408200001</v>
      </c>
      <c r="X39" s="25">
        <f t="shared" si="12"/>
        <v>-0.08149390243897324</v>
      </c>
      <c r="Y39" s="8">
        <f>IF(Meters!$D$1=3,T39,W39+X39)</f>
        <v>4116.857914297562</v>
      </c>
      <c r="Z39" s="16">
        <f t="shared" si="18"/>
        <v>0.4318106999999145</v>
      </c>
      <c r="AA39" s="16">
        <f t="shared" si="13"/>
        <v>980789.3787167598</v>
      </c>
      <c r="AB39" s="16">
        <f t="shared" si="14"/>
        <v>-235.4003212015328</v>
      </c>
      <c r="AC39" s="14">
        <f t="shared" si="15"/>
        <v>0.81</v>
      </c>
      <c r="AD39" s="16">
        <f>(N39-VLOOKUP(N39,'Bullard B Table'!$A$4:$B$67,1))*((VLOOKUP(N39+100,'Bullard B Table'!$A$4:$B$67,2)-VLOOKUP(N39,'Bullard B Table'!$A$4:$B$67,2))/100)+VLOOKUP(N39,'Bullard B Table'!$A$4:$B$67,2)+2*(PI())*(0.00000000006673)*N39*2670*100000</f>
        <v>86.33717260203207</v>
      </c>
      <c r="AE39" s="21">
        <v>0.688</v>
      </c>
      <c r="AF39" s="8">
        <f>Y39-'Absolute Base'!$B$16+'Absolute Base'!$B$6+Z39</f>
        <v>980524.8179249975</v>
      </c>
      <c r="AG39" s="67">
        <f t="shared" si="16"/>
        <v>-113.99964316282421</v>
      </c>
      <c r="AL39" s="63"/>
    </row>
    <row r="40" spans="1:38" s="14" customFormat="1" ht="12.75">
      <c r="A40" s="21" t="s">
        <v>89</v>
      </c>
      <c r="B40" s="22">
        <v>38249</v>
      </c>
      <c r="C40" s="23">
        <v>10</v>
      </c>
      <c r="D40" s="24">
        <v>29</v>
      </c>
      <c r="E40" s="41">
        <f t="shared" si="17"/>
        <v>1.3166666666666664</v>
      </c>
      <c r="F40" s="21">
        <v>46</v>
      </c>
      <c r="G40" s="21">
        <v>52</v>
      </c>
      <c r="H40" s="21">
        <v>23.89675</v>
      </c>
      <c r="I40" s="21">
        <v>117</v>
      </c>
      <c r="J40" s="21">
        <v>4</v>
      </c>
      <c r="K40" s="21">
        <v>11.15914</v>
      </c>
      <c r="L40" s="15">
        <f t="shared" si="10"/>
        <v>46.873304652777776</v>
      </c>
      <c r="M40" s="15">
        <f t="shared" si="11"/>
        <v>-117.06976642777778</v>
      </c>
      <c r="N40" s="25">
        <v>761.229</v>
      </c>
      <c r="O40" s="21">
        <v>4007.86</v>
      </c>
      <c r="P40" s="8">
        <f>(O40-VLOOKUP(O40,'Calib. Table'!$A$5:$C$75,1))*(VLOOKUP(O40,'Calib. Table'!$A$5:$C$75,3))+VLOOKUP(O40,'Calib. Table'!$A$5:$C$75,2)</f>
        <v>4101.6994082</v>
      </c>
      <c r="Q40" s="21">
        <v>16.543</v>
      </c>
      <c r="R40" s="52"/>
      <c r="S40" s="16"/>
      <c r="T40" s="16"/>
      <c r="U40" s="20">
        <f>IF(Meters!$D$1=1,P40+Q40,IF(Meters!D$1=2,S40,IF(Meters!$D$1=3,T40)))</f>
        <v>4118.2424082</v>
      </c>
      <c r="V40" s="21">
        <v>0.045</v>
      </c>
      <c r="W40" s="8">
        <f t="shared" si="5"/>
        <v>4118.2874082</v>
      </c>
      <c r="X40" s="25">
        <f t="shared" si="12"/>
        <v>-0.09754573170725571</v>
      </c>
      <c r="Y40" s="8">
        <f>IF(Meters!$D$1=3,T40,W40+X40)</f>
        <v>4118.189862468293</v>
      </c>
      <c r="Z40" s="16">
        <f t="shared" si="18"/>
        <v>0.4318106999999145</v>
      </c>
      <c r="AA40" s="16">
        <f t="shared" si="13"/>
        <v>980789.3796016311</v>
      </c>
      <c r="AB40" s="16">
        <f t="shared" si="14"/>
        <v>-234.82387500658416</v>
      </c>
      <c r="AC40" s="14">
        <f t="shared" si="15"/>
        <v>0.81</v>
      </c>
      <c r="AD40" s="16">
        <f>(N40-VLOOKUP(N40,'Bullard B Table'!$A$4:$B$67,1))*((VLOOKUP(N40+100,'Bullard B Table'!$A$4:$B$67,2)-VLOOKUP(N40,'Bullard B Table'!$A$4:$B$67,2))/100)+VLOOKUP(N40,'Bullard B Table'!$A$4:$B$67,2)+2*(PI())*(0.00000000006673)*N40*2670*100000</f>
        <v>86.12620558784361</v>
      </c>
      <c r="AE40" s="21">
        <v>0.672</v>
      </c>
      <c r="AF40" s="8">
        <f>Y40-'Absolute Base'!$B$16+'Absolute Base'!$B$6+Z40</f>
        <v>980526.1498731682</v>
      </c>
      <c r="AG40" s="67">
        <f t="shared" si="16"/>
        <v>-113.05005904403515</v>
      </c>
      <c r="AL40" s="63"/>
    </row>
    <row r="41" spans="1:38" s="14" customFormat="1" ht="12.75">
      <c r="A41" s="21" t="s">
        <v>90</v>
      </c>
      <c r="B41" s="22">
        <v>38249</v>
      </c>
      <c r="C41" s="23">
        <v>10</v>
      </c>
      <c r="D41" s="24">
        <v>37</v>
      </c>
      <c r="E41" s="41">
        <f t="shared" si="17"/>
        <v>1.450000000000001</v>
      </c>
      <c r="F41" s="21">
        <v>46</v>
      </c>
      <c r="G41" s="21">
        <v>52</v>
      </c>
      <c r="H41" s="21">
        <v>24.73151</v>
      </c>
      <c r="I41" s="21">
        <v>117</v>
      </c>
      <c r="J41" s="21">
        <v>4</v>
      </c>
      <c r="K41" s="21">
        <v>25.29602</v>
      </c>
      <c r="L41" s="15">
        <f t="shared" si="10"/>
        <v>46.873536530555555</v>
      </c>
      <c r="M41" s="15">
        <f t="shared" si="11"/>
        <v>-117.07369333888889</v>
      </c>
      <c r="N41" s="25">
        <v>759.222</v>
      </c>
      <c r="O41" s="21">
        <v>4007.86</v>
      </c>
      <c r="P41" s="8">
        <f>(O41-VLOOKUP(O41,'Calib. Table'!$A$5:$C$75,1))*(VLOOKUP(O41,'Calib. Table'!$A$5:$C$75,3))+VLOOKUP(O41,'Calib. Table'!$A$5:$C$75,2)</f>
        <v>4101.6994082</v>
      </c>
      <c r="Q41" s="21">
        <v>17.314</v>
      </c>
      <c r="R41" s="52"/>
      <c r="S41" s="16"/>
      <c r="T41" s="16"/>
      <c r="U41" s="20">
        <f>IF(Meters!$D$1=1,P41+Q41,IF(Meters!D$1=2,S41,IF(Meters!$D$1=3,T41)))</f>
        <v>4119.0134082</v>
      </c>
      <c r="V41" s="21">
        <v>0.047</v>
      </c>
      <c r="W41" s="8">
        <f t="shared" si="5"/>
        <v>4119.0604082</v>
      </c>
      <c r="X41" s="25">
        <f t="shared" si="12"/>
        <v>-0.1074237804877374</v>
      </c>
      <c r="Y41" s="8">
        <f>IF(Meters!$D$1=3,T41,W41+X41)</f>
        <v>4118.952984419512</v>
      </c>
      <c r="Z41" s="16">
        <f t="shared" si="18"/>
        <v>0.4318106999999145</v>
      </c>
      <c r="AA41" s="16">
        <f t="shared" si="13"/>
        <v>980789.4005504397</v>
      </c>
      <c r="AB41" s="16">
        <f t="shared" si="14"/>
        <v>-234.204864323282</v>
      </c>
      <c r="AC41" s="14">
        <f t="shared" si="15"/>
        <v>0.81</v>
      </c>
      <c r="AD41" s="16">
        <f>(N41-VLOOKUP(N41,'Bullard B Table'!$A$4:$B$67,1))*((VLOOKUP(N41+100,'Bullard B Table'!$A$4:$B$67,2)-VLOOKUP(N41,'Bullard B Table'!$A$4:$B$67,2))/100)+VLOOKUP(N41,'Bullard B Table'!$A$4:$B$67,2)+2*(PI())*(0.00000000006673)*N41*2670*100000</f>
        <v>85.89966155495101</v>
      </c>
      <c r="AE41" s="21">
        <v>0.799</v>
      </c>
      <c r="AF41" s="8">
        <f>Y41-'Absolute Base'!$B$16+'Absolute Base'!$B$6+Z41</f>
        <v>980526.9129951195</v>
      </c>
      <c r="AG41" s="67">
        <f t="shared" si="16"/>
        <v>-112.57335255190264</v>
      </c>
      <c r="AL41" s="63"/>
    </row>
    <row r="42" spans="1:38" s="14" customFormat="1" ht="12.75">
      <c r="A42" s="21" t="s">
        <v>91</v>
      </c>
      <c r="B42" s="22">
        <v>38249</v>
      </c>
      <c r="C42" s="23">
        <v>10</v>
      </c>
      <c r="D42" s="24">
        <v>47</v>
      </c>
      <c r="E42" s="41">
        <f t="shared" si="17"/>
        <v>1.6166666666666671</v>
      </c>
      <c r="F42" s="21">
        <v>46</v>
      </c>
      <c r="G42" s="21">
        <v>52</v>
      </c>
      <c r="H42" s="21">
        <v>23.54326</v>
      </c>
      <c r="I42" s="21">
        <v>117</v>
      </c>
      <c r="J42" s="21">
        <v>4</v>
      </c>
      <c r="K42" s="21">
        <v>39.34924</v>
      </c>
      <c r="L42" s="15">
        <f t="shared" si="10"/>
        <v>46.87320646111111</v>
      </c>
      <c r="M42" s="15">
        <f t="shared" si="11"/>
        <v>-117.07759701111111</v>
      </c>
      <c r="N42" s="25">
        <v>759.913</v>
      </c>
      <c r="O42" s="21">
        <v>4007.86</v>
      </c>
      <c r="P42" s="8">
        <f>(O42-VLOOKUP(O42,'Calib. Table'!$A$5:$C$75,1))*(VLOOKUP(O42,'Calib. Table'!$A$5:$C$75,3))+VLOOKUP(O42,'Calib. Table'!$A$5:$C$75,2)</f>
        <v>4101.6994082</v>
      </c>
      <c r="Q42" s="21">
        <v>17.304</v>
      </c>
      <c r="R42" s="52"/>
      <c r="S42" s="16"/>
      <c r="T42" s="16"/>
      <c r="U42" s="20">
        <f>IF(Meters!$D$1=1,P42+Q42,IF(Meters!D$1=2,S42,IF(Meters!$D$1=3,T42)))</f>
        <v>4119.0034082</v>
      </c>
      <c r="V42" s="21">
        <v>0.048</v>
      </c>
      <c r="W42" s="8">
        <f t="shared" si="5"/>
        <v>4119.0514082</v>
      </c>
      <c r="X42" s="25">
        <f t="shared" si="12"/>
        <v>-0.11977134146333934</v>
      </c>
      <c r="Y42" s="8">
        <f>IF(Meters!$D$1=3,T42,W42+X42)</f>
        <v>4118.931636858537</v>
      </c>
      <c r="Z42" s="16">
        <f t="shared" si="18"/>
        <v>0.4318106999999145</v>
      </c>
      <c r="AA42" s="16">
        <f t="shared" si="13"/>
        <v>980789.3707305822</v>
      </c>
      <c r="AB42" s="16">
        <f t="shared" si="14"/>
        <v>-234.41798810765232</v>
      </c>
      <c r="AC42" s="14">
        <f t="shared" si="15"/>
        <v>0.81</v>
      </c>
      <c r="AD42" s="16">
        <f>(N42-VLOOKUP(N42,'Bullard B Table'!$A$4:$B$67,1))*((VLOOKUP(N42+100,'Bullard B Table'!$A$4:$B$67,2)-VLOOKUP(N42,'Bullard B Table'!$A$4:$B$67,2))/100)+VLOOKUP(N42,'Bullard B Table'!$A$4:$B$67,2)+2*(PI())*(0.00000000006673)*N42*2670*100000</f>
        <v>85.97765952541876</v>
      </c>
      <c r="AE42" s="21">
        <v>1.008</v>
      </c>
      <c r="AF42" s="8">
        <f>Y42-'Absolute Base'!$B$16+'Absolute Base'!$B$6+Z42</f>
        <v>980526.8916475585</v>
      </c>
      <c r="AG42" s="67">
        <f t="shared" si="16"/>
        <v>-112.22075444133952</v>
      </c>
      <c r="AL42" s="63"/>
    </row>
    <row r="43" spans="1:38" s="14" customFormat="1" ht="12.75">
      <c r="A43" s="21" t="s">
        <v>92</v>
      </c>
      <c r="B43" s="22">
        <v>38249</v>
      </c>
      <c r="C43" s="23">
        <v>11</v>
      </c>
      <c r="D43" s="24">
        <v>0</v>
      </c>
      <c r="E43" s="41">
        <f t="shared" si="17"/>
        <v>1.833333333333334</v>
      </c>
      <c r="F43" s="21">
        <v>46</v>
      </c>
      <c r="G43" s="21">
        <v>52</v>
      </c>
      <c r="H43" s="21">
        <v>23.65983</v>
      </c>
      <c r="I43" s="21">
        <v>117</v>
      </c>
      <c r="J43" s="21">
        <v>4</v>
      </c>
      <c r="K43" s="21">
        <v>53.49951</v>
      </c>
      <c r="L43" s="15">
        <f t="shared" si="10"/>
        <v>46.87323884166667</v>
      </c>
      <c r="M43" s="15">
        <f t="shared" si="11"/>
        <v>-117.08152764166667</v>
      </c>
      <c r="N43" s="25">
        <v>775.023</v>
      </c>
      <c r="O43" s="21">
        <v>4007.86</v>
      </c>
      <c r="P43" s="8">
        <f>(O43-VLOOKUP(O43,'Calib. Table'!$A$5:$C$75,1))*(VLOOKUP(O43,'Calib. Table'!$A$5:$C$75,3))+VLOOKUP(O43,'Calib. Table'!$A$5:$C$75,2)</f>
        <v>4101.6994082</v>
      </c>
      <c r="Q43" s="21">
        <v>13.492</v>
      </c>
      <c r="R43" s="52"/>
      <c r="S43" s="16"/>
      <c r="T43" s="16"/>
      <c r="U43" s="20">
        <f>IF(Meters!$D$1=1,P43+Q43,IF(Meters!D$1=2,S43,IF(Meters!$D$1=3,T43)))</f>
        <v>4115.1914082</v>
      </c>
      <c r="V43" s="21">
        <v>0.051</v>
      </c>
      <c r="W43" s="8">
        <f t="shared" si="5"/>
        <v>4115.242408200001</v>
      </c>
      <c r="X43" s="25">
        <f t="shared" si="12"/>
        <v>-0.13582317073162195</v>
      </c>
      <c r="Y43" s="8">
        <f>IF(Meters!$D$1=3,T43,W43+X43)</f>
        <v>4115.106585029269</v>
      </c>
      <c r="Z43" s="16">
        <f t="shared" si="18"/>
        <v>0.4318106999999145</v>
      </c>
      <c r="AA43" s="16">
        <f t="shared" si="13"/>
        <v>980789.3736559784</v>
      </c>
      <c r="AB43" s="16">
        <f t="shared" si="14"/>
        <v>-239.07827660079178</v>
      </c>
      <c r="AC43" s="14">
        <f t="shared" si="15"/>
        <v>0.8</v>
      </c>
      <c r="AD43" s="16">
        <f>(N43-VLOOKUP(N43,'Bullard B Table'!$A$4:$B$67,1))*((VLOOKUP(N43+100,'Bullard B Table'!$A$4:$B$67,2)-VLOOKUP(N43,'Bullard B Table'!$A$4:$B$67,2))/100)+VLOOKUP(N43,'Bullard B Table'!$A$4:$B$67,2)+2*(PI())*(0.00000000006673)*N43*2670*100000</f>
        <v>87.68323019657333</v>
      </c>
      <c r="AE43" s="21">
        <v>0.904</v>
      </c>
      <c r="AF43" s="8">
        <f>Y43-'Absolute Base'!$B$16+'Absolute Base'!$B$6+Z43</f>
        <v>980523.0665957292</v>
      </c>
      <c r="AG43" s="67">
        <f t="shared" si="16"/>
        <v>-113.20801384490915</v>
      </c>
      <c r="AL43" s="63"/>
    </row>
    <row r="44" spans="1:38" s="14" customFormat="1" ht="12.75">
      <c r="A44" s="21" t="s">
        <v>93</v>
      </c>
      <c r="B44" s="22">
        <v>38249</v>
      </c>
      <c r="C44" s="23">
        <v>11</v>
      </c>
      <c r="D44" s="24">
        <v>12</v>
      </c>
      <c r="E44" s="41">
        <f t="shared" si="17"/>
        <v>2.033333333333333</v>
      </c>
      <c r="F44" s="21">
        <v>46</v>
      </c>
      <c r="G44" s="21">
        <v>52</v>
      </c>
      <c r="H44" s="21">
        <v>23.70968</v>
      </c>
      <c r="I44" s="21">
        <v>117</v>
      </c>
      <c r="J44" s="21">
        <v>5</v>
      </c>
      <c r="K44" s="21">
        <v>7.67627</v>
      </c>
      <c r="L44" s="15">
        <f t="shared" si="10"/>
        <v>46.87325268888889</v>
      </c>
      <c r="M44" s="15">
        <f t="shared" si="11"/>
        <v>-117.08546563055555</v>
      </c>
      <c r="N44" s="25">
        <v>767.842</v>
      </c>
      <c r="O44" s="21">
        <v>4007.86</v>
      </c>
      <c r="P44" s="8">
        <f>(O44-VLOOKUP(O44,'Calib. Table'!$A$5:$C$75,1))*(VLOOKUP(O44,'Calib. Table'!$A$5:$C$75,3))+VLOOKUP(O44,'Calib. Table'!$A$5:$C$75,2)</f>
        <v>4101.6994082</v>
      </c>
      <c r="Q44" s="21">
        <v>14.805</v>
      </c>
      <c r="R44" s="52"/>
      <c r="S44" s="16"/>
      <c r="T44" s="16"/>
      <c r="U44" s="20">
        <f>IF(Meters!$D$1=1,P44+Q44,IF(Meters!D$1=2,S44,IF(Meters!$D$1=3,T44)))</f>
        <v>4116.5044082</v>
      </c>
      <c r="V44" s="21">
        <v>0.052</v>
      </c>
      <c r="W44" s="8">
        <f t="shared" si="5"/>
        <v>4116.5564082</v>
      </c>
      <c r="X44" s="25">
        <f t="shared" si="12"/>
        <v>-0.1506402439023443</v>
      </c>
      <c r="Y44" s="8">
        <f>IF(Meters!$D$1=3,T44,W44+X44)</f>
        <v>4116.405767956097</v>
      </c>
      <c r="Z44" s="16">
        <f t="shared" si="18"/>
        <v>0.4318106999999145</v>
      </c>
      <c r="AA44" s="16">
        <f t="shared" si="13"/>
        <v>980789.3749069946</v>
      </c>
      <c r="AB44" s="16">
        <f t="shared" si="14"/>
        <v>-236.8634869117635</v>
      </c>
      <c r="AC44" s="14">
        <f t="shared" si="15"/>
        <v>0.81</v>
      </c>
      <c r="AD44" s="16">
        <f>(N44-VLOOKUP(N44,'Bullard B Table'!$A$4:$B$67,1))*((VLOOKUP(N44+100,'Bullard B Table'!$A$4:$B$67,2)-VLOOKUP(N44,'Bullard B Table'!$A$4:$B$67,2))/100)+VLOOKUP(N44,'Bullard B Table'!$A$4:$B$67,2)+2*(PI())*(0.00000000006673)*N44*2670*100000</f>
        <v>86.87266083922317</v>
      </c>
      <c r="AE44" s="21">
        <v>0.816</v>
      </c>
      <c r="AF44" s="8">
        <f>Y44-'Absolute Base'!$B$16+'Absolute Base'!$B$6+Z44</f>
        <v>980524.3657786561</v>
      </c>
      <c r="AG44" s="67">
        <f t="shared" si="16"/>
        <v>-113.39230226597283</v>
      </c>
      <c r="AL44" s="63"/>
    </row>
    <row r="45" spans="1:38" s="14" customFormat="1" ht="12.75">
      <c r="A45" s="21" t="s">
        <v>94</v>
      </c>
      <c r="B45" s="22">
        <v>38249</v>
      </c>
      <c r="C45" s="23">
        <v>11</v>
      </c>
      <c r="D45" s="24">
        <v>23</v>
      </c>
      <c r="E45" s="41">
        <f t="shared" si="17"/>
        <v>2.216666666666667</v>
      </c>
      <c r="F45" s="21">
        <v>46</v>
      </c>
      <c r="G45" s="21">
        <v>52</v>
      </c>
      <c r="H45" s="21">
        <v>23.34817</v>
      </c>
      <c r="I45" s="21">
        <v>117</v>
      </c>
      <c r="J45" s="21">
        <v>5</v>
      </c>
      <c r="K45" s="21">
        <v>21.84909</v>
      </c>
      <c r="L45" s="15">
        <f t="shared" si="10"/>
        <v>46.87315226944445</v>
      </c>
      <c r="M45" s="15">
        <f t="shared" si="11"/>
        <v>-117.089402525</v>
      </c>
      <c r="N45" s="25">
        <v>770.483</v>
      </c>
      <c r="O45" s="21">
        <v>4007.86</v>
      </c>
      <c r="P45" s="8">
        <f>(O45-VLOOKUP(O45,'Calib. Table'!$A$5:$C$75,1))*(VLOOKUP(O45,'Calib. Table'!$A$5:$C$75,3))+VLOOKUP(O45,'Calib. Table'!$A$5:$C$75,2)</f>
        <v>4101.6994082</v>
      </c>
      <c r="Q45" s="21">
        <v>14.051</v>
      </c>
      <c r="R45" s="52"/>
      <c r="S45" s="16"/>
      <c r="T45" s="16"/>
      <c r="U45" s="20">
        <f>IF(Meters!$D$1=1,P45+Q45,IF(Meters!D$1=2,S45,IF(Meters!$D$1=3,T45)))</f>
        <v>4115.7504082000005</v>
      </c>
      <c r="V45" s="21">
        <v>0.054</v>
      </c>
      <c r="W45" s="8">
        <f t="shared" si="5"/>
        <v>4115.804408200001</v>
      </c>
      <c r="X45" s="25">
        <f t="shared" si="12"/>
        <v>-0.1642225609755065</v>
      </c>
      <c r="Y45" s="8">
        <f>IF(Meters!$D$1=3,T45,W45+X45)</f>
        <v>4115.640185639025</v>
      </c>
      <c r="Z45" s="16">
        <f t="shared" si="18"/>
        <v>0.4318106999999145</v>
      </c>
      <c r="AA45" s="16">
        <f t="shared" si="13"/>
        <v>980789.3658346775</v>
      </c>
      <c r="AB45" s="16">
        <f t="shared" si="14"/>
        <v>-237.6780349993739</v>
      </c>
      <c r="AC45" s="14">
        <f t="shared" si="15"/>
        <v>0.8</v>
      </c>
      <c r="AD45" s="16">
        <f>(N45-VLOOKUP(N45,'Bullard B Table'!$A$4:$B$67,1))*((VLOOKUP(N45+100,'Bullard B Table'!$A$4:$B$67,2)-VLOOKUP(N45,'Bullard B Table'!$A$4:$B$67,2))/100)+VLOOKUP(N45,'Bullard B Table'!$A$4:$B$67,2)+2*(PI())*(0.00000000006673)*N45*2670*100000</f>
        <v>87.17076885659704</v>
      </c>
      <c r="AE45" s="21">
        <v>0.326</v>
      </c>
      <c r="AF45" s="8">
        <f>Y45-'Absolute Base'!$B$16+'Absolute Base'!$B$6+Z45</f>
        <v>980523.600196339</v>
      </c>
      <c r="AG45" s="67">
        <f t="shared" si="16"/>
        <v>-114.13237219571602</v>
      </c>
      <c r="AL45" s="63"/>
    </row>
    <row r="46" spans="1:38" s="14" customFormat="1" ht="12.75">
      <c r="A46" s="21" t="s">
        <v>95</v>
      </c>
      <c r="B46" s="22">
        <v>38249</v>
      </c>
      <c r="C46" s="23">
        <v>11</v>
      </c>
      <c r="D46" s="24">
        <v>35</v>
      </c>
      <c r="E46" s="41">
        <f t="shared" si="17"/>
        <v>2.416666666666668</v>
      </c>
      <c r="F46" s="21">
        <v>46</v>
      </c>
      <c r="G46" s="21">
        <v>52</v>
      </c>
      <c r="H46" s="21">
        <v>23.80726</v>
      </c>
      <c r="I46" s="21">
        <v>117</v>
      </c>
      <c r="J46" s="21">
        <v>5</v>
      </c>
      <c r="K46" s="21">
        <v>36.00739</v>
      </c>
      <c r="L46" s="15">
        <f t="shared" si="10"/>
        <v>46.87327979444444</v>
      </c>
      <c r="M46" s="15">
        <f t="shared" si="11"/>
        <v>-117.09333538611111</v>
      </c>
      <c r="N46" s="25">
        <v>764.414</v>
      </c>
      <c r="O46" s="21">
        <v>4007.86</v>
      </c>
      <c r="P46" s="8">
        <f>(O46-VLOOKUP(O46,'Calib. Table'!$A$5:$C$75,1))*(VLOOKUP(O46,'Calib. Table'!$A$5:$C$75,3))+VLOOKUP(O46,'Calib. Table'!$A$5:$C$75,2)</f>
        <v>4101.6994082</v>
      </c>
      <c r="Q46" s="21">
        <v>14.647</v>
      </c>
      <c r="R46" s="52"/>
      <c r="S46" s="16"/>
      <c r="T46" s="16"/>
      <c r="U46" s="20">
        <f>IF(Meters!$D$1=1,P46+Q46,IF(Meters!D$1=2,S46,IF(Meters!$D$1=3,T46)))</f>
        <v>4116.3464082</v>
      </c>
      <c r="V46" s="21">
        <v>0.055</v>
      </c>
      <c r="W46" s="8">
        <f t="shared" si="5"/>
        <v>4116.4014082</v>
      </c>
      <c r="X46" s="25">
        <f t="shared" si="12"/>
        <v>-0.17903963414622895</v>
      </c>
      <c r="Y46" s="8">
        <f>IF(Meters!$D$1=3,T46,W46+X46)</f>
        <v>4116.222368565854</v>
      </c>
      <c r="Z46" s="16">
        <f t="shared" si="18"/>
        <v>0.4318106999999145</v>
      </c>
      <c r="AA46" s="16">
        <f t="shared" si="13"/>
        <v>980789.3773558248</v>
      </c>
      <c r="AB46" s="16">
        <f t="shared" si="14"/>
        <v>-235.8062081556374</v>
      </c>
      <c r="AC46" s="14">
        <f t="shared" si="15"/>
        <v>0.81</v>
      </c>
      <c r="AD46" s="16">
        <f>(N46-VLOOKUP(N46,'Bullard B Table'!$A$4:$B$67,1))*((VLOOKUP(N46+100,'Bullard B Table'!$A$4:$B$67,2)-VLOOKUP(N46,'Bullard B Table'!$A$4:$B$67,2))/100)+VLOOKUP(N46,'Bullard B Table'!$A$4:$B$67,2)+2*(PI())*(0.00000000006673)*N46*2670*100000</f>
        <v>86.48571866445693</v>
      </c>
      <c r="AE46" s="21">
        <v>0.705</v>
      </c>
      <c r="AF46" s="8">
        <f>Y46-'Absolute Base'!$B$16+'Absolute Base'!$B$6+Z46</f>
        <v>980524.1823792658</v>
      </c>
      <c r="AG46" s="67">
        <f t="shared" si="16"/>
        <v>-114.35948706790805</v>
      </c>
      <c r="AL46" s="63"/>
    </row>
    <row r="47" spans="1:38" s="14" customFormat="1" ht="12.75">
      <c r="A47" s="21" t="s">
        <v>96</v>
      </c>
      <c r="B47" s="22">
        <v>38249</v>
      </c>
      <c r="C47" s="23">
        <v>11</v>
      </c>
      <c r="D47" s="24">
        <v>45</v>
      </c>
      <c r="E47" s="41">
        <f t="shared" si="17"/>
        <v>2.583333333333334</v>
      </c>
      <c r="F47" s="21">
        <v>46</v>
      </c>
      <c r="G47" s="21">
        <v>52</v>
      </c>
      <c r="H47" s="21">
        <v>23.69695</v>
      </c>
      <c r="I47" s="21">
        <v>117</v>
      </c>
      <c r="J47" s="21">
        <v>5</v>
      </c>
      <c r="K47" s="21">
        <v>50.16708</v>
      </c>
      <c r="L47" s="15">
        <f t="shared" si="10"/>
        <v>46.87324915277778</v>
      </c>
      <c r="M47" s="15">
        <f t="shared" si="11"/>
        <v>-117.09726863333333</v>
      </c>
      <c r="N47" s="25">
        <v>778.01</v>
      </c>
      <c r="O47" s="21">
        <v>4007.86</v>
      </c>
      <c r="P47" s="8">
        <f>(O47-VLOOKUP(O47,'Calib. Table'!$A$5:$C$75,1))*(VLOOKUP(O47,'Calib. Table'!$A$5:$C$75,3))+VLOOKUP(O47,'Calib. Table'!$A$5:$C$75,2)</f>
        <v>4101.6994082</v>
      </c>
      <c r="Q47" s="21">
        <v>10.999</v>
      </c>
      <c r="R47" s="52"/>
      <c r="S47" s="16"/>
      <c r="T47" s="16"/>
      <c r="U47" s="20">
        <f>IF(Meters!$D$1=1,P47+Q47,IF(Meters!D$1=2,S47,IF(Meters!$D$1=3,T47)))</f>
        <v>4112.6984082</v>
      </c>
      <c r="V47" s="21">
        <v>0.056</v>
      </c>
      <c r="W47" s="8">
        <f t="shared" si="5"/>
        <v>4112.7544081999995</v>
      </c>
      <c r="X47" s="25">
        <f t="shared" si="12"/>
        <v>-0.1913871951218309</v>
      </c>
      <c r="Y47" s="8">
        <f>IF(Meters!$D$1=3,T47,W47+X47)</f>
        <v>4112.563021004878</v>
      </c>
      <c r="Z47" s="16">
        <f t="shared" si="18"/>
        <v>0.4318106999999145</v>
      </c>
      <c r="AA47" s="16">
        <f t="shared" si="13"/>
        <v>980789.3745875276</v>
      </c>
      <c r="AB47" s="16">
        <f t="shared" si="14"/>
        <v>-239.99953553216065</v>
      </c>
      <c r="AC47" s="14">
        <f t="shared" si="15"/>
        <v>0.8</v>
      </c>
      <c r="AD47" s="16">
        <f>(N47-VLOOKUP(N47,'Bullard B Table'!$A$4:$B$67,1))*((VLOOKUP(N47+100,'Bullard B Table'!$A$4:$B$67,2)-VLOOKUP(N47,'Bullard B Table'!$A$4:$B$67,2))/100)+VLOOKUP(N47,'Bullard B Table'!$A$4:$B$67,2)+2*(PI())*(0.00000000006673)*N47*2670*100000</f>
        <v>88.02039363765464</v>
      </c>
      <c r="AE47" s="21">
        <v>0.285</v>
      </c>
      <c r="AF47" s="8">
        <f>Y47-'Absolute Base'!$B$16+'Absolute Base'!$B$6+Z47</f>
        <v>980520.5230317048</v>
      </c>
      <c r="AG47" s="67">
        <f t="shared" si="16"/>
        <v>-115.78741392819211</v>
      </c>
      <c r="AL47" s="63"/>
    </row>
    <row r="48" spans="1:38" s="14" customFormat="1" ht="12.75">
      <c r="A48" s="21" t="s">
        <v>97</v>
      </c>
      <c r="B48" s="22">
        <v>38249</v>
      </c>
      <c r="C48" s="23">
        <v>11</v>
      </c>
      <c r="D48" s="24">
        <v>56</v>
      </c>
      <c r="E48" s="41">
        <f t="shared" si="17"/>
        <v>2.7666666666666675</v>
      </c>
      <c r="F48" s="21">
        <v>46</v>
      </c>
      <c r="G48" s="21">
        <v>52</v>
      </c>
      <c r="H48" s="21">
        <v>23.60976</v>
      </c>
      <c r="I48" s="21">
        <v>117</v>
      </c>
      <c r="J48" s="21">
        <v>6</v>
      </c>
      <c r="K48" s="21">
        <v>4.31344</v>
      </c>
      <c r="L48" s="15">
        <f t="shared" si="10"/>
        <v>46.87322493333333</v>
      </c>
      <c r="M48" s="15">
        <f t="shared" si="11"/>
        <v>-117.10119817777777</v>
      </c>
      <c r="N48" s="25">
        <v>783.684</v>
      </c>
      <c r="O48" s="21">
        <v>4007.86</v>
      </c>
      <c r="P48" s="8">
        <f>(O48-VLOOKUP(O48,'Calib. Table'!$A$5:$C$75,1))*(VLOOKUP(O48,'Calib. Table'!$A$5:$C$75,3))+VLOOKUP(O48,'Calib. Table'!$A$5:$C$75,2)</f>
        <v>4101.6994082</v>
      </c>
      <c r="Q48" s="21">
        <v>9.687</v>
      </c>
      <c r="R48" s="52"/>
      <c r="S48" s="16"/>
      <c r="T48" s="16"/>
      <c r="U48" s="20">
        <f>IF(Meters!$D$1=1,P48+Q48,IF(Meters!D$1=2,S48,IF(Meters!$D$1=3,T48)))</f>
        <v>4111.3864082</v>
      </c>
      <c r="V48" s="21">
        <v>0.056</v>
      </c>
      <c r="W48" s="8">
        <f t="shared" si="5"/>
        <v>4111.4424082</v>
      </c>
      <c r="X48" s="25">
        <f t="shared" si="12"/>
        <v>-0.2049695121949931</v>
      </c>
      <c r="Y48" s="8">
        <f>IF(Meters!$D$1=3,T48,W48+X48)</f>
        <v>4111.237438687805</v>
      </c>
      <c r="Z48" s="16">
        <f t="shared" si="18"/>
        <v>0.4318106999999145</v>
      </c>
      <c r="AA48" s="16">
        <f t="shared" si="13"/>
        <v>980789.3723994407</v>
      </c>
      <c r="AB48" s="16">
        <f t="shared" si="14"/>
        <v>-241.74952326933467</v>
      </c>
      <c r="AC48" s="14">
        <f t="shared" si="15"/>
        <v>0.8</v>
      </c>
      <c r="AD48" s="16">
        <f>(N48-VLOOKUP(N48,'Bullard B Table'!$A$4:$B$67,1))*((VLOOKUP(N48+100,'Bullard B Table'!$A$4:$B$67,2)-VLOOKUP(N48,'Bullard B Table'!$A$4:$B$67,2))/100)+VLOOKUP(N48,'Bullard B Table'!$A$4:$B$67,2)+2*(PI())*(0.00000000006673)*N48*2670*100000</f>
        <v>88.66085743567787</v>
      </c>
      <c r="AE48" s="21">
        <v>0.54</v>
      </c>
      <c r="AF48" s="8">
        <f>Y48-'Absolute Base'!$B$16+'Absolute Base'!$B$6+Z48</f>
        <v>980519.1974493877</v>
      </c>
      <c r="AG48" s="67">
        <f t="shared" si="16"/>
        <v>-115.74628421920352</v>
      </c>
      <c r="AL48" s="63"/>
    </row>
    <row r="49" spans="1:38" s="14" customFormat="1" ht="12.75">
      <c r="A49" s="21" t="s">
        <v>98</v>
      </c>
      <c r="B49" s="22">
        <v>38249</v>
      </c>
      <c r="C49" s="23">
        <v>12</v>
      </c>
      <c r="D49" s="24">
        <v>8</v>
      </c>
      <c r="E49" s="41">
        <f t="shared" si="17"/>
        <v>2.966666666666667</v>
      </c>
      <c r="F49" s="21">
        <v>46</v>
      </c>
      <c r="G49" s="21">
        <v>52</v>
      </c>
      <c r="H49" s="21">
        <v>23.67284</v>
      </c>
      <c r="I49" s="21">
        <v>117</v>
      </c>
      <c r="J49" s="21">
        <v>6</v>
      </c>
      <c r="K49" s="21">
        <v>18.4829</v>
      </c>
      <c r="L49" s="15">
        <f t="shared" si="10"/>
        <v>46.873242455555555</v>
      </c>
      <c r="M49" s="15">
        <f t="shared" si="11"/>
        <v>-117.10513413888889</v>
      </c>
      <c r="N49" s="25">
        <v>774.233</v>
      </c>
      <c r="O49" s="21">
        <v>4007.86</v>
      </c>
      <c r="P49" s="8">
        <f>(O49-VLOOKUP(O49,'Calib. Table'!$A$5:$C$75,1))*(VLOOKUP(O49,'Calib. Table'!$A$5:$C$75,3))+VLOOKUP(O49,'Calib. Table'!$A$5:$C$75,2)</f>
        <v>4101.6994082</v>
      </c>
      <c r="Q49" s="21">
        <v>11.946</v>
      </c>
      <c r="R49" s="52"/>
      <c r="S49" s="16"/>
      <c r="T49" s="16"/>
      <c r="U49" s="20">
        <f>IF(Meters!$D$1=1,P49+Q49,IF(Meters!D$1=2,S49,IF(Meters!$D$1=3,T49)))</f>
        <v>4113.6454082</v>
      </c>
      <c r="V49" s="21">
        <v>0.057</v>
      </c>
      <c r="W49" s="8">
        <f t="shared" si="5"/>
        <v>4113.7024082</v>
      </c>
      <c r="X49" s="25">
        <f t="shared" si="12"/>
        <v>-0.21978658536571544</v>
      </c>
      <c r="Y49" s="8">
        <f>IF(Meters!$D$1=3,T49,W49+X49)</f>
        <v>4113.482621614634</v>
      </c>
      <c r="Z49" s="16">
        <f t="shared" si="18"/>
        <v>0.4318106999999145</v>
      </c>
      <c r="AA49" s="16">
        <f t="shared" si="13"/>
        <v>980789.3739824722</v>
      </c>
      <c r="AB49" s="16">
        <f t="shared" si="14"/>
        <v>-238.83462232855786</v>
      </c>
      <c r="AC49" s="14">
        <f t="shared" si="15"/>
        <v>0.8</v>
      </c>
      <c r="AD49" s="16">
        <f>(N49-VLOOKUP(N49,'Bullard B Table'!$A$4:$B$67,1))*((VLOOKUP(N49+100,'Bullard B Table'!$A$4:$B$67,2)-VLOOKUP(N49,'Bullard B Table'!$A$4:$B$67,2))/100)+VLOOKUP(N49,'Bullard B Table'!$A$4:$B$67,2)+2*(PI())*(0.00000000006673)*N49*2670*100000</f>
        <v>87.59405740833955</v>
      </c>
      <c r="AE49" s="21">
        <v>0.364</v>
      </c>
      <c r="AF49" s="8">
        <f>Y49-'Absolute Base'!$B$16+'Absolute Base'!$B$6+Z49</f>
        <v>980521.4426323146</v>
      </c>
      <c r="AG49" s="67">
        <f t="shared" si="16"/>
        <v>-115.52678523748182</v>
      </c>
      <c r="AL49" s="63"/>
    </row>
    <row r="50" spans="1:38" s="14" customFormat="1" ht="12.75">
      <c r="A50" s="21" t="s">
        <v>99</v>
      </c>
      <c r="B50" s="22">
        <v>38249</v>
      </c>
      <c r="C50" s="23">
        <v>12</v>
      </c>
      <c r="D50" s="24">
        <v>20</v>
      </c>
      <c r="E50" s="41">
        <f t="shared" si="17"/>
        <v>3.166666666666668</v>
      </c>
      <c r="F50" s="21">
        <v>46</v>
      </c>
      <c r="G50" s="21">
        <v>52</v>
      </c>
      <c r="H50" s="21">
        <v>23.83022</v>
      </c>
      <c r="I50" s="21">
        <v>117</v>
      </c>
      <c r="J50" s="21">
        <v>6</v>
      </c>
      <c r="K50" s="21">
        <v>32.64804</v>
      </c>
      <c r="L50" s="15">
        <f t="shared" si="10"/>
        <v>46.87328617222222</v>
      </c>
      <c r="M50" s="15">
        <f t="shared" si="11"/>
        <v>-117.1090689</v>
      </c>
      <c r="N50" s="25">
        <v>756.981</v>
      </c>
      <c r="O50" s="21">
        <v>4007.86</v>
      </c>
      <c r="P50" s="8">
        <f>(O50-VLOOKUP(O50,'Calib. Table'!$A$5:$C$75,1))*(VLOOKUP(O50,'Calib. Table'!$A$5:$C$75,3))+VLOOKUP(O50,'Calib. Table'!$A$5:$C$75,2)</f>
        <v>4101.6994082</v>
      </c>
      <c r="Q50" s="21">
        <v>16.205</v>
      </c>
      <c r="R50" s="52"/>
      <c r="S50" s="16"/>
      <c r="T50" s="16"/>
      <c r="U50" s="20">
        <f>IF(Meters!$D$1=1,P50+Q50,IF(Meters!D$1=2,S50,IF(Meters!$D$1=3,T50)))</f>
        <v>4117.9044082</v>
      </c>
      <c r="V50" s="21">
        <v>0.058</v>
      </c>
      <c r="W50" s="8">
        <f t="shared" si="5"/>
        <v>4117.9624082</v>
      </c>
      <c r="X50" s="25">
        <f t="shared" si="12"/>
        <v>-0.23460365853643791</v>
      </c>
      <c r="Y50" s="8">
        <f>IF(Meters!$D$1=3,T50,W50+X50)</f>
        <v>4117.727804541463</v>
      </c>
      <c r="Z50" s="16">
        <f t="shared" si="18"/>
        <v>0.4318106999999145</v>
      </c>
      <c r="AA50" s="16">
        <f t="shared" si="13"/>
        <v>980789.3779320202</v>
      </c>
      <c r="AB50" s="16">
        <f t="shared" si="14"/>
        <v>-233.513684265257</v>
      </c>
      <c r="AC50" s="14">
        <f t="shared" si="15"/>
        <v>0.81</v>
      </c>
      <c r="AD50" s="16">
        <f>(N50-VLOOKUP(N50,'Bullard B Table'!$A$4:$B$67,1))*((VLOOKUP(N50+100,'Bullard B Table'!$A$4:$B$67,2)-VLOOKUP(N50,'Bullard B Table'!$A$4:$B$67,2))/100)+VLOOKUP(N50,'Bullard B Table'!$A$4:$B$67,2)+2*(PI())*(0.00000000006673)*N50*2670*100000</f>
        <v>85.64670431642966</v>
      </c>
      <c r="AE50" s="21">
        <v>0.97</v>
      </c>
      <c r="AF50" s="8">
        <f>Y50-'Absolute Base'!$B$16+'Absolute Base'!$B$6+Z50</f>
        <v>980525.6878152414</v>
      </c>
      <c r="AG50" s="67">
        <f t="shared" si="16"/>
        <v>-114.04313682997599</v>
      </c>
      <c r="AL50" s="63"/>
    </row>
    <row r="51" spans="1:38" s="14" customFormat="1" ht="12.75">
      <c r="A51" s="21" t="s">
        <v>100</v>
      </c>
      <c r="B51" s="22">
        <v>38249</v>
      </c>
      <c r="C51" s="23">
        <v>12</v>
      </c>
      <c r="D51" s="24">
        <v>31</v>
      </c>
      <c r="E51" s="41">
        <f t="shared" si="17"/>
        <v>3.3500000000000014</v>
      </c>
      <c r="F51" s="21">
        <v>46</v>
      </c>
      <c r="G51" s="21">
        <v>52</v>
      </c>
      <c r="H51" s="21">
        <v>23.96521</v>
      </c>
      <c r="I51" s="21">
        <v>117</v>
      </c>
      <c r="J51" s="21">
        <v>6</v>
      </c>
      <c r="K51" s="21">
        <v>46.8173</v>
      </c>
      <c r="L51" s="15">
        <f t="shared" si="10"/>
        <v>46.873323669444446</v>
      </c>
      <c r="M51" s="15">
        <f t="shared" si="11"/>
        <v>-117.11300480555555</v>
      </c>
      <c r="N51" s="25">
        <v>771.203</v>
      </c>
      <c r="O51" s="21">
        <v>4007.86</v>
      </c>
      <c r="P51" s="8">
        <f>(O51-VLOOKUP(O51,'Calib. Table'!$A$5:$C$75,1))*(VLOOKUP(O51,'Calib. Table'!$A$5:$C$75,3))+VLOOKUP(O51,'Calib. Table'!$A$5:$C$75,2)</f>
        <v>4101.6994082</v>
      </c>
      <c r="Q51" s="21">
        <v>13.365</v>
      </c>
      <c r="R51" s="52"/>
      <c r="S51" s="16"/>
      <c r="T51" s="16"/>
      <c r="U51" s="20">
        <f>IF(Meters!$D$1=1,P51+Q51,IF(Meters!D$1=2,S51,IF(Meters!$D$1=3,T51)))</f>
        <v>4115.0644082</v>
      </c>
      <c r="V51" s="21">
        <v>0.058</v>
      </c>
      <c r="W51" s="8">
        <f t="shared" si="5"/>
        <v>4115.1224082</v>
      </c>
      <c r="X51" s="25">
        <f t="shared" si="12"/>
        <v>-0.24818597560960012</v>
      </c>
      <c r="Y51" s="8">
        <f>IF(Meters!$D$1=3,T51,W51+X51)</f>
        <v>4114.87422222439</v>
      </c>
      <c r="Z51" s="16">
        <f t="shared" si="18"/>
        <v>0.4318106999999145</v>
      </c>
      <c r="AA51" s="16">
        <f t="shared" si="13"/>
        <v>980789.3813196768</v>
      </c>
      <c r="AB51" s="16">
        <f t="shared" si="14"/>
        <v>-237.90009901419626</v>
      </c>
      <c r="AC51" s="14">
        <f t="shared" si="15"/>
        <v>0.8</v>
      </c>
      <c r="AD51" s="16">
        <f>(N51-VLOOKUP(N51,'Bullard B Table'!$A$4:$B$67,1))*((VLOOKUP(N51+100,'Bullard B Table'!$A$4:$B$67,2)-VLOOKUP(N51,'Bullard B Table'!$A$4:$B$67,2))/100)+VLOOKUP(N51,'Bullard B Table'!$A$4:$B$67,2)+2*(PI())*(0.00000000006673)*N51*2670*100000</f>
        <v>87.2520402585316</v>
      </c>
      <c r="AE51" s="21">
        <v>0.55</v>
      </c>
      <c r="AF51" s="8">
        <f>Y51-'Absolute Base'!$B$16+'Absolute Base'!$B$6+Z51</f>
        <v>980522.8342329244</v>
      </c>
      <c r="AG51" s="67">
        <f t="shared" si="16"/>
        <v>-114.5490279966034</v>
      </c>
      <c r="AL51" s="63"/>
    </row>
    <row r="52" spans="1:38" s="14" customFormat="1" ht="12.75">
      <c r="A52" s="21" t="s">
        <v>101</v>
      </c>
      <c r="B52" s="22">
        <v>38249</v>
      </c>
      <c r="C52" s="23">
        <v>12</v>
      </c>
      <c r="D52" s="24">
        <v>42</v>
      </c>
      <c r="E52" s="41">
        <f t="shared" si="17"/>
        <v>3.533333333333333</v>
      </c>
      <c r="F52" s="21">
        <v>46</v>
      </c>
      <c r="G52" s="21">
        <v>52</v>
      </c>
      <c r="H52" s="21">
        <v>24.18674</v>
      </c>
      <c r="I52" s="21">
        <v>117</v>
      </c>
      <c r="J52" s="21">
        <v>7</v>
      </c>
      <c r="K52" s="21">
        <v>0.96743</v>
      </c>
      <c r="L52" s="15">
        <f t="shared" si="10"/>
        <v>46.87338520555556</v>
      </c>
      <c r="M52" s="15">
        <f t="shared" si="11"/>
        <v>-117.11693539722222</v>
      </c>
      <c r="N52" s="25">
        <v>762.215</v>
      </c>
      <c r="O52" s="21">
        <v>4007.86</v>
      </c>
      <c r="P52" s="8">
        <f>(O52-VLOOKUP(O52,'Calib. Table'!$A$5:$C$75,1))*(VLOOKUP(O52,'Calib. Table'!$A$5:$C$75,3))+VLOOKUP(O52,'Calib. Table'!$A$5:$C$75,2)</f>
        <v>4101.6994082</v>
      </c>
      <c r="Q52" s="21">
        <v>15.755</v>
      </c>
      <c r="R52" s="52"/>
      <c r="S52" s="16"/>
      <c r="T52" s="16"/>
      <c r="U52" s="20">
        <f>IF(Meters!$D$1=1,P52+Q52,IF(Meters!D$1=2,S52,IF(Meters!$D$1=3,T52)))</f>
        <v>4117.4544082</v>
      </c>
      <c r="V52" s="21">
        <v>0.058</v>
      </c>
      <c r="W52" s="8">
        <f t="shared" si="5"/>
        <v>4117.5124082</v>
      </c>
      <c r="X52" s="25">
        <f t="shared" si="12"/>
        <v>-0.2617682926827622</v>
      </c>
      <c r="Y52" s="8">
        <f>IF(Meters!$D$1=3,T52,W52+X52)</f>
        <v>4117.250639907317</v>
      </c>
      <c r="Z52" s="16">
        <f t="shared" si="18"/>
        <v>0.4318106999999145</v>
      </c>
      <c r="AA52" s="16">
        <f t="shared" si="13"/>
        <v>980789.3868791076</v>
      </c>
      <c r="AB52" s="16">
        <f t="shared" si="14"/>
        <v>-235.12798155031348</v>
      </c>
      <c r="AC52" s="14">
        <f t="shared" si="15"/>
        <v>0.81</v>
      </c>
      <c r="AD52" s="16">
        <f>(N52-VLOOKUP(N52,'Bullard B Table'!$A$4:$B$67,1))*((VLOOKUP(N52+100,'Bullard B Table'!$A$4:$B$67,2)-VLOOKUP(N52,'Bullard B Table'!$A$4:$B$67,2))/100)+VLOOKUP(N52,'Bullard B Table'!$A$4:$B$67,2)+2*(PI())*(0.00000000006673)*N52*2670*100000</f>
        <v>86.23750225771511</v>
      </c>
      <c r="AE52" s="21">
        <v>0.772</v>
      </c>
      <c r="AF52" s="8">
        <f>Y52-'Absolute Base'!$B$16+'Absolute Base'!$B$6+Z52</f>
        <v>980525.2106506072</v>
      </c>
      <c r="AG52" s="67">
        <f t="shared" si="16"/>
        <v>-113.70374920766335</v>
      </c>
      <c r="AL52" s="63"/>
    </row>
    <row r="53" spans="1:38" s="14" customFormat="1" ht="12.75">
      <c r="A53" s="21" t="s">
        <v>102</v>
      </c>
      <c r="B53" s="22">
        <v>38249</v>
      </c>
      <c r="C53" s="23">
        <v>12</v>
      </c>
      <c r="D53" s="24">
        <v>54</v>
      </c>
      <c r="E53" s="41">
        <f t="shared" si="17"/>
        <v>3.7333333333333343</v>
      </c>
      <c r="F53" s="21">
        <v>46</v>
      </c>
      <c r="G53" s="21">
        <v>52</v>
      </c>
      <c r="H53" s="21">
        <v>25.28702</v>
      </c>
      <c r="I53" s="21">
        <v>117</v>
      </c>
      <c r="J53" s="21">
        <v>7</v>
      </c>
      <c r="K53" s="21">
        <v>15.05793</v>
      </c>
      <c r="L53" s="15">
        <f t="shared" si="10"/>
        <v>46.87369083888889</v>
      </c>
      <c r="M53" s="15">
        <f t="shared" si="11"/>
        <v>-117.12084942499999</v>
      </c>
      <c r="N53" s="25">
        <v>755.504</v>
      </c>
      <c r="O53" s="21">
        <v>4007.86</v>
      </c>
      <c r="P53" s="8">
        <f>(O53-VLOOKUP(O53,'Calib. Table'!$A$5:$C$75,1))*(VLOOKUP(O53,'Calib. Table'!$A$5:$C$75,3))+VLOOKUP(O53,'Calib. Table'!$A$5:$C$75,2)</f>
        <v>4101.6994082</v>
      </c>
      <c r="Q53" s="21">
        <v>17.767</v>
      </c>
      <c r="R53" s="52"/>
      <c r="S53" s="16"/>
      <c r="T53" s="16"/>
      <c r="U53" s="20">
        <f>IF(Meters!$D$1=1,P53+Q53,IF(Meters!D$1=2,S53,IF(Meters!$D$1=3,T53)))</f>
        <v>4119.4664082</v>
      </c>
      <c r="V53" s="21">
        <v>0.058</v>
      </c>
      <c r="W53" s="8">
        <f t="shared" si="5"/>
        <v>4119.5244082</v>
      </c>
      <c r="X53" s="25">
        <f t="shared" si="12"/>
        <v>-0.27658536585348464</v>
      </c>
      <c r="Y53" s="8">
        <f>IF(Meters!$D$1=3,T53,W53+X53)</f>
        <v>4119.247822834146</v>
      </c>
      <c r="Z53" s="16">
        <f t="shared" si="18"/>
        <v>0.4318106999999145</v>
      </c>
      <c r="AA53" s="16">
        <f t="shared" si="13"/>
        <v>980789.4144912945</v>
      </c>
      <c r="AB53" s="16">
        <f t="shared" si="14"/>
        <v>-233.05813708495566</v>
      </c>
      <c r="AC53" s="14">
        <f t="shared" si="15"/>
        <v>0.81</v>
      </c>
      <c r="AD53" s="16">
        <f>(N53-VLOOKUP(N53,'Bullard B Table'!$A$4:$B$67,1))*((VLOOKUP(N53+100,'Bullard B Table'!$A$4:$B$67,2)-VLOOKUP(N53,'Bullard B Table'!$A$4:$B$67,2))/100)+VLOOKUP(N53,'Bullard B Table'!$A$4:$B$67,2)+2*(PI())*(0.00000000006673)*N53*2670*100000</f>
        <v>85.47998506551667</v>
      </c>
      <c r="AE53" s="21">
        <v>0.819</v>
      </c>
      <c r="AF53" s="8">
        <f>Y53-'Absolute Base'!$B$16+'Absolute Base'!$B$6+Z53</f>
        <v>980527.2078335341</v>
      </c>
      <c r="AG53" s="67">
        <f t="shared" si="16"/>
        <v>-112.99950574093964</v>
      </c>
      <c r="AL53" s="63"/>
    </row>
    <row r="54" spans="1:38" s="14" customFormat="1" ht="12.75">
      <c r="A54" s="21" t="s">
        <v>103</v>
      </c>
      <c r="B54" s="22">
        <v>38249</v>
      </c>
      <c r="C54" s="23">
        <v>13</v>
      </c>
      <c r="D54" s="24">
        <v>6</v>
      </c>
      <c r="E54" s="41">
        <f t="shared" si="17"/>
        <v>3.9333333333333336</v>
      </c>
      <c r="F54" s="21">
        <v>46</v>
      </c>
      <c r="G54" s="21">
        <v>52</v>
      </c>
      <c r="H54" s="21">
        <v>27.39069</v>
      </c>
      <c r="I54" s="21">
        <v>117</v>
      </c>
      <c r="J54" s="21">
        <v>7</v>
      </c>
      <c r="K54" s="21">
        <v>28.92241</v>
      </c>
      <c r="L54" s="15">
        <f t="shared" si="10"/>
        <v>46.87427519166667</v>
      </c>
      <c r="M54" s="15">
        <f t="shared" si="11"/>
        <v>-117.12470066944444</v>
      </c>
      <c r="N54" s="25">
        <v>743.861</v>
      </c>
      <c r="O54" s="21">
        <v>4007.86</v>
      </c>
      <c r="P54" s="8">
        <f>(O54-VLOOKUP(O54,'Calib. Table'!$A$5:$C$75,1))*(VLOOKUP(O54,'Calib. Table'!$A$5:$C$75,3))+VLOOKUP(O54,'Calib. Table'!$A$5:$C$75,2)</f>
        <v>4101.6994082</v>
      </c>
      <c r="Q54" s="21">
        <v>20.64</v>
      </c>
      <c r="R54" s="52"/>
      <c r="S54" s="16"/>
      <c r="T54" s="16"/>
      <c r="U54" s="20">
        <f>IF(Meters!$D$1=1,P54+Q54,IF(Meters!D$1=2,S54,IF(Meters!$D$1=3,T54)))</f>
        <v>4122.3394082</v>
      </c>
      <c r="V54" s="21">
        <v>0.058</v>
      </c>
      <c r="W54" s="8">
        <f t="shared" si="5"/>
        <v>4122.3974082</v>
      </c>
      <c r="X54" s="25">
        <f t="shared" si="12"/>
        <v>-0.291402439024207</v>
      </c>
      <c r="Y54" s="8">
        <f>IF(Meters!$D$1=3,T54,W54+X54)</f>
        <v>4122.106005760977</v>
      </c>
      <c r="Z54" s="16">
        <f t="shared" si="18"/>
        <v>0.4318106999999145</v>
      </c>
      <c r="AA54" s="16">
        <f t="shared" si="13"/>
        <v>980789.467284106</v>
      </c>
      <c r="AB54" s="16">
        <f t="shared" si="14"/>
        <v>-229.46712172001034</v>
      </c>
      <c r="AC54" s="14">
        <f t="shared" si="15"/>
        <v>0.81</v>
      </c>
      <c r="AD54" s="16">
        <f>(N54-VLOOKUP(N54,'Bullard B Table'!$A$4:$B$67,1))*((VLOOKUP(N54+100,'Bullard B Table'!$A$4:$B$67,2)-VLOOKUP(N54,'Bullard B Table'!$A$4:$B$67,2))/100)+VLOOKUP(N54,'Bullard B Table'!$A$4:$B$67,2)+2*(PI())*(0.00000000006673)*N54*2670*100000</f>
        <v>84.16575877006647</v>
      </c>
      <c r="AE54" s="21">
        <v>0.695</v>
      </c>
      <c r="AF54" s="8">
        <f>Y54-'Absolute Base'!$B$16+'Absolute Base'!$B$6+Z54</f>
        <v>980530.0660164609</v>
      </c>
      <c r="AG54" s="67">
        <f t="shared" si="16"/>
        <v>-112.59490469517186</v>
      </c>
      <c r="AL54" s="63"/>
    </row>
    <row r="55" spans="1:38" s="14" customFormat="1" ht="12.75">
      <c r="A55" s="21" t="s">
        <v>104</v>
      </c>
      <c r="B55" s="22">
        <v>38249</v>
      </c>
      <c r="C55" s="23">
        <v>13</v>
      </c>
      <c r="D55" s="24">
        <v>24</v>
      </c>
      <c r="E55" s="41">
        <f t="shared" si="17"/>
        <v>4.233333333333334</v>
      </c>
      <c r="F55" s="21">
        <v>46</v>
      </c>
      <c r="G55" s="21">
        <v>52</v>
      </c>
      <c r="H55" s="21">
        <v>23.67665</v>
      </c>
      <c r="I55" s="21">
        <v>117</v>
      </c>
      <c r="J55" s="21">
        <v>5</v>
      </c>
      <c r="K55" s="21">
        <v>30.05189</v>
      </c>
      <c r="L55" s="15">
        <f t="shared" si="10"/>
        <v>46.87324351388889</v>
      </c>
      <c r="M55" s="15">
        <f t="shared" si="11"/>
        <v>-117.09168108055555</v>
      </c>
      <c r="N55" s="25">
        <v>758.964</v>
      </c>
      <c r="O55" s="21">
        <v>4007.86</v>
      </c>
      <c r="P55" s="8">
        <f>(O55-VLOOKUP(O55,'Calib. Table'!$A$5:$C$75,1))*(VLOOKUP(O55,'Calib. Table'!$A$5:$C$75,3))+VLOOKUP(O55,'Calib. Table'!$A$5:$C$75,2)</f>
        <v>4101.6994082</v>
      </c>
      <c r="Q55" s="21">
        <v>16.216</v>
      </c>
      <c r="R55" s="52"/>
      <c r="S55" s="16"/>
      <c r="T55" s="16"/>
      <c r="U55" s="20">
        <f>IF(Meters!$D$1=1,P55+Q55,IF(Meters!D$1=2,S55,IF(Meters!$D$1=3,T55)))</f>
        <v>4117.9154082000005</v>
      </c>
      <c r="V55" s="21">
        <v>0.058</v>
      </c>
      <c r="W55" s="8">
        <f t="shared" si="5"/>
        <v>4117.9734082</v>
      </c>
      <c r="X55" s="25">
        <f t="shared" si="12"/>
        <v>-0.31362804878029066</v>
      </c>
      <c r="Y55" s="8">
        <f>IF(Meters!$D$1=3,T55,W55+X55)</f>
        <v>4117.65978015122</v>
      </c>
      <c r="Z55" s="16">
        <f t="shared" si="18"/>
        <v>0.4318106999999145</v>
      </c>
      <c r="AA55" s="16">
        <f t="shared" si="13"/>
        <v>980789.3740780865</v>
      </c>
      <c r="AB55" s="16">
        <f t="shared" si="14"/>
        <v>-234.12529228861806</v>
      </c>
      <c r="AC55" s="14">
        <f t="shared" si="15"/>
        <v>0.81</v>
      </c>
      <c r="AD55" s="16">
        <f>(N55-VLOOKUP(N55,'Bullard B Table'!$A$4:$B$67,1))*((VLOOKUP(N55+100,'Bullard B Table'!$A$4:$B$67,2)-VLOOKUP(N55,'Bullard B Table'!$A$4:$B$67,2))/100)+VLOOKUP(N55,'Bullard B Table'!$A$4:$B$67,2)+2*(PI())*(0.00000000006673)*N55*2670*100000</f>
        <v>85.87053930259111</v>
      </c>
      <c r="AE55" s="21">
        <v>0.97</v>
      </c>
      <c r="AF55" s="8">
        <f>Y55-'Absolute Base'!$B$16+'Absolute Base'!$B$6+Z55</f>
        <v>980525.6197908511</v>
      </c>
      <c r="AG55" s="67">
        <f t="shared" si="16"/>
        <v>-113.71953424927779</v>
      </c>
      <c r="AL55" s="63"/>
    </row>
    <row r="56" spans="1:38" s="14" customFormat="1" ht="12.75">
      <c r="A56" s="21" t="s">
        <v>105</v>
      </c>
      <c r="B56" s="22">
        <v>38249</v>
      </c>
      <c r="C56" s="23">
        <v>13</v>
      </c>
      <c r="D56" s="24">
        <v>37</v>
      </c>
      <c r="E56" s="41">
        <f t="shared" si="17"/>
        <v>4.450000000000001</v>
      </c>
      <c r="F56" s="21">
        <v>46</v>
      </c>
      <c r="G56" s="21">
        <v>52</v>
      </c>
      <c r="H56" s="21">
        <v>5.28772</v>
      </c>
      <c r="I56" s="21">
        <v>117</v>
      </c>
      <c r="J56" s="21">
        <v>5</v>
      </c>
      <c r="K56" s="21">
        <v>29.41347</v>
      </c>
      <c r="L56" s="15">
        <f t="shared" si="10"/>
        <v>46.86813547777778</v>
      </c>
      <c r="M56" s="15">
        <f t="shared" si="11"/>
        <v>-117.09150374166666</v>
      </c>
      <c r="N56" s="25">
        <v>752.777</v>
      </c>
      <c r="O56" s="21">
        <v>4007.86</v>
      </c>
      <c r="P56" s="8">
        <f>(O56-VLOOKUP(O56,'Calib. Table'!$A$5:$C$75,1))*(VLOOKUP(O56,'Calib. Table'!$A$5:$C$75,3))+VLOOKUP(O56,'Calib. Table'!$A$5:$C$75,2)</f>
        <v>4101.6994082</v>
      </c>
      <c r="Q56" s="21">
        <v>15.76</v>
      </c>
      <c r="R56" s="52"/>
      <c r="S56" s="16"/>
      <c r="T56" s="16"/>
      <c r="U56" s="20">
        <f>IF(Meters!$D$1=1,P56+Q56,IF(Meters!D$1=2,S56,IF(Meters!$D$1=3,T56)))</f>
        <v>4117.4594082</v>
      </c>
      <c r="V56" s="21">
        <v>0.058</v>
      </c>
      <c r="W56" s="8">
        <f t="shared" si="5"/>
        <v>4117.5174082</v>
      </c>
      <c r="X56" s="25">
        <f t="shared" si="12"/>
        <v>-0.32967987804857324</v>
      </c>
      <c r="Y56" s="8">
        <f>IF(Meters!$D$1=3,T56,W56+X56)</f>
        <v>4117.187728321952</v>
      </c>
      <c r="Z56" s="16">
        <f t="shared" si="18"/>
        <v>0.4318106999999145</v>
      </c>
      <c r="AA56" s="16">
        <f t="shared" si="13"/>
        <v>980788.9125940488</v>
      </c>
      <c r="AB56" s="16">
        <f t="shared" si="14"/>
        <v>-232.21709126535652</v>
      </c>
      <c r="AC56" s="14">
        <f t="shared" si="15"/>
        <v>0.81</v>
      </c>
      <c r="AD56" s="16">
        <f>(N56-VLOOKUP(N56,'Bullard B Table'!$A$4:$B$67,1))*((VLOOKUP(N56+100,'Bullard B Table'!$A$4:$B$67,2)-VLOOKUP(N56,'Bullard B Table'!$A$4:$B$67,2))/100)+VLOOKUP(N56,'Bullard B Table'!$A$4:$B$67,2)+2*(PI())*(0.00000000006673)*N56*2670*100000</f>
        <v>85.17216963068951</v>
      </c>
      <c r="AE56" s="21">
        <v>1.198</v>
      </c>
      <c r="AF56" s="8">
        <f>Y56-'Absolute Base'!$B$16+'Absolute Base'!$B$6+Z56</f>
        <v>980525.1477390219</v>
      </c>
      <c r="AG56" s="67">
        <f t="shared" si="16"/>
        <v>-114.71193339210004</v>
      </c>
      <c r="AL56" s="63"/>
    </row>
    <row r="57" spans="1:38" s="14" customFormat="1" ht="12.75">
      <c r="A57" s="21" t="s">
        <v>106</v>
      </c>
      <c r="B57" s="22">
        <v>38249</v>
      </c>
      <c r="C57" s="23">
        <v>13</v>
      </c>
      <c r="D57" s="24">
        <v>52</v>
      </c>
      <c r="E57" s="41">
        <f t="shared" si="17"/>
        <v>4.700000000000001</v>
      </c>
      <c r="F57" s="21">
        <v>46</v>
      </c>
      <c r="G57" s="21">
        <v>51</v>
      </c>
      <c r="H57" s="21">
        <v>31.27616</v>
      </c>
      <c r="I57" s="21">
        <v>117</v>
      </c>
      <c r="J57" s="21">
        <v>6</v>
      </c>
      <c r="K57" s="21">
        <v>20.84177</v>
      </c>
      <c r="L57" s="15">
        <f t="shared" si="10"/>
        <v>46.85868782222222</v>
      </c>
      <c r="M57" s="15">
        <f t="shared" si="11"/>
        <v>-117.10578938055555</v>
      </c>
      <c r="N57" s="25">
        <v>748.43</v>
      </c>
      <c r="O57" s="21">
        <v>4007.86</v>
      </c>
      <c r="P57" s="8">
        <f>(O57-VLOOKUP(O57,'Calib. Table'!$A$5:$C$75,1))*(VLOOKUP(O57,'Calib. Table'!$A$5:$C$75,3))+VLOOKUP(O57,'Calib. Table'!$A$5:$C$75,2)</f>
        <v>4101.6994082</v>
      </c>
      <c r="Q57" s="21">
        <v>15.163</v>
      </c>
      <c r="R57" s="52"/>
      <c r="S57" s="16"/>
      <c r="T57" s="16"/>
      <c r="U57" s="20">
        <f>IF(Meters!$D$1=1,P57+Q57,IF(Meters!D$1=2,S57,IF(Meters!$D$1=3,T57)))</f>
        <v>4116.8624082</v>
      </c>
      <c r="V57" s="21">
        <v>0.058</v>
      </c>
      <c r="W57" s="8">
        <f t="shared" si="5"/>
        <v>4116.9204082</v>
      </c>
      <c r="X57" s="25">
        <f t="shared" si="12"/>
        <v>-0.34820121951197625</v>
      </c>
      <c r="Y57" s="8">
        <f>IF(Meters!$D$1=3,T57,W57+X57)</f>
        <v>4116.572206980488</v>
      </c>
      <c r="Z57" s="16">
        <f t="shared" si="18"/>
        <v>0.4318106999999145</v>
      </c>
      <c r="AA57" s="16">
        <f t="shared" si="13"/>
        <v>980788.0590351622</v>
      </c>
      <c r="AB57" s="16">
        <f t="shared" si="14"/>
        <v>-230.87641496301524</v>
      </c>
      <c r="AC57" s="14">
        <f t="shared" si="15"/>
        <v>0.81</v>
      </c>
      <c r="AD57" s="16">
        <f>(N57-VLOOKUP(N57,'Bullard B Table'!$A$4:$B$67,1))*((VLOOKUP(N57+100,'Bullard B Table'!$A$4:$B$67,2)-VLOOKUP(N57,'Bullard B Table'!$A$4:$B$67,2))/100)+VLOOKUP(N57,'Bullard B Table'!$A$4:$B$67,2)+2*(PI())*(0.00000000006673)*N57*2670*100000</f>
        <v>84.68149354150957</v>
      </c>
      <c r="AE57" s="21">
        <v>0.384</v>
      </c>
      <c r="AF57" s="8">
        <f>Y57-'Absolute Base'!$B$16+'Absolute Base'!$B$6+Z57</f>
        <v>980524.5322176805</v>
      </c>
      <c r="AG57" s="67">
        <f t="shared" si="16"/>
        <v>-116.1378960601287</v>
      </c>
      <c r="AL57" s="63"/>
    </row>
    <row r="58" spans="1:38" s="14" customFormat="1" ht="12.75">
      <c r="A58" s="42" t="s">
        <v>50</v>
      </c>
      <c r="B58" s="39">
        <v>38249</v>
      </c>
      <c r="C58" s="49">
        <v>14</v>
      </c>
      <c r="D58" s="50">
        <v>38</v>
      </c>
      <c r="E58" s="40">
        <f t="shared" si="17"/>
        <v>5.466666666666667</v>
      </c>
      <c r="F58" s="42">
        <v>46</v>
      </c>
      <c r="G58" s="42">
        <v>51</v>
      </c>
      <c r="H58" s="42">
        <v>32.41159</v>
      </c>
      <c r="I58" s="42">
        <v>117</v>
      </c>
      <c r="J58" s="42">
        <v>7</v>
      </c>
      <c r="K58" s="42">
        <v>56.68086</v>
      </c>
      <c r="L58" s="53">
        <f t="shared" si="10"/>
        <v>46.859003219444446</v>
      </c>
      <c r="M58" s="53">
        <f t="shared" si="11"/>
        <v>-117.13241135</v>
      </c>
      <c r="N58" s="43">
        <v>736.334</v>
      </c>
      <c r="O58" s="42">
        <v>4007.86</v>
      </c>
      <c r="P58" s="56">
        <f>(O58-VLOOKUP(O58,'Calib. Table'!$A$5:$C$75,1))*(VLOOKUP(O58,'Calib. Table'!$A$5:$C$75,3))+VLOOKUP(O58,'Calib. Table'!$A$5:$C$75,2)</f>
        <v>4101.6994082</v>
      </c>
      <c r="Q58" s="42">
        <v>20.601</v>
      </c>
      <c r="R58" s="59"/>
      <c r="S58" s="54"/>
      <c r="T58" s="54"/>
      <c r="U58" s="58">
        <f>IF(Meters!$D$1=1,P58+Q58,IF(Meters!D$1=2,S58,IF(Meters!$D$1=3,T58)))</f>
        <v>4122.3004082</v>
      </c>
      <c r="V58" s="42">
        <v>0.061</v>
      </c>
      <c r="W58" s="56">
        <f t="shared" si="5"/>
        <v>4122.3614081999995</v>
      </c>
      <c r="X58" s="43">
        <f t="shared" si="12"/>
        <v>-0.4049999999997453</v>
      </c>
      <c r="Y58" s="56">
        <f>IF(Meters!$D$1=3,T58,W58+X58)</f>
        <v>4121.9564082</v>
      </c>
      <c r="Z58" s="54">
        <f t="shared" si="18"/>
        <v>0.4318106999999145</v>
      </c>
      <c r="AA58" s="54">
        <f t="shared" si="13"/>
        <v>980788.0875303483</v>
      </c>
      <c r="AB58" s="54">
        <f t="shared" si="14"/>
        <v>-227.14566972640597</v>
      </c>
      <c r="AC58" s="55">
        <f t="shared" si="15"/>
        <v>0.81</v>
      </c>
      <c r="AD58" s="54">
        <f>(N58-VLOOKUP(N58,'Bullard B Table'!$A$4:$B$67,1))*((VLOOKUP(N58+100,'Bullard B Table'!$A$4:$B$67,2)-VLOOKUP(N58,'Bullard B Table'!$A$4:$B$67,2))/100)+VLOOKUP(N58,'Bullard B Table'!$A$4:$B$67,2)+2*(PI())*(0.00000000006673)*N58*2670*100000</f>
        <v>83.31613398900885</v>
      </c>
      <c r="AE58" s="42">
        <v>0.959</v>
      </c>
      <c r="AF58" s="56">
        <f>Y58-'Absolute Base'!$B$16+'Absolute Base'!$B$6+Z58</f>
        <v>980529.9164188999</v>
      </c>
      <c r="AG58" s="66">
        <f t="shared" si="16"/>
        <v>-112.5725757109467</v>
      </c>
      <c r="AL58" s="63"/>
    </row>
    <row r="59" spans="1:38" s="14" customFormat="1" ht="12.75">
      <c r="A59" s="42" t="s">
        <v>51</v>
      </c>
      <c r="B59" s="39">
        <v>38276</v>
      </c>
      <c r="C59" s="49">
        <v>11</v>
      </c>
      <c r="D59" s="50">
        <v>58</v>
      </c>
      <c r="E59" s="40">
        <f>((B59-$B$59)*24)+((C59+(D59/60))-($C$59+($D$59/60)))</f>
        <v>0</v>
      </c>
      <c r="F59" s="42">
        <v>46</v>
      </c>
      <c r="G59" s="42">
        <v>51</v>
      </c>
      <c r="H59" s="42">
        <v>32.41159</v>
      </c>
      <c r="I59" s="42">
        <v>117</v>
      </c>
      <c r="J59" s="42">
        <v>7</v>
      </c>
      <c r="K59" s="42">
        <v>56.68086</v>
      </c>
      <c r="L59" s="53">
        <f t="shared" si="10"/>
        <v>46.859003219444446</v>
      </c>
      <c r="M59" s="53">
        <f t="shared" si="11"/>
        <v>-117.13241135</v>
      </c>
      <c r="N59" s="43">
        <v>736.334</v>
      </c>
      <c r="O59" s="42">
        <v>4008.2</v>
      </c>
      <c r="P59" s="56">
        <f>(O59-VLOOKUP(O59,'Calib. Table'!$A$5:$C$75,1))*(VLOOKUP(O59,'Calib. Table'!$A$5:$C$75,3))+VLOOKUP(O59,'Calib. Table'!$A$5:$C$75,2)</f>
        <v>4102.0480339999995</v>
      </c>
      <c r="Q59" s="42">
        <v>19.367</v>
      </c>
      <c r="R59" s="59"/>
      <c r="S59" s="54"/>
      <c r="T59" s="54"/>
      <c r="U59" s="58">
        <f>IF(Meters!$D$1=1,P59+Q59,IF(Meters!D$1=2,S59,IF(Meters!$D$1=3,T59)))</f>
        <v>4121.415034</v>
      </c>
      <c r="V59" s="42">
        <v>0.058</v>
      </c>
      <c r="W59" s="56">
        <f t="shared" si="5"/>
        <v>4121.473034</v>
      </c>
      <c r="X59" s="43">
        <f aca="true" t="shared" si="19" ref="X59:X70">(($W$59-$W$70)/$E$70)*E59</f>
        <v>0</v>
      </c>
      <c r="Y59" s="56">
        <f>IF(Meters!$D$1=3,T59,W59+X59)</f>
        <v>4121.473034</v>
      </c>
      <c r="Z59" s="54">
        <f>$Y$34-$Y$59</f>
        <v>0.9151848999999856</v>
      </c>
      <c r="AA59" s="54">
        <f t="shared" si="13"/>
        <v>980788.0875303483</v>
      </c>
      <c r="AB59" s="54">
        <f t="shared" si="14"/>
        <v>-227.14566972640597</v>
      </c>
      <c r="AC59" s="55">
        <f t="shared" si="15"/>
        <v>0.81</v>
      </c>
      <c r="AD59" s="54">
        <f>(N59-VLOOKUP(N59,'Bullard B Table'!$A$4:$B$67,1))*((VLOOKUP(N59+100,'Bullard B Table'!$A$4:$B$67,2)-VLOOKUP(N59,'Bullard B Table'!$A$4:$B$67,2))/100)+VLOOKUP(N59,'Bullard B Table'!$A$4:$B$67,2)+2*(PI())*(0.00000000006673)*N59*2670*100000</f>
        <v>83.31613398900885</v>
      </c>
      <c r="AE59" s="42">
        <v>0.959</v>
      </c>
      <c r="AF59" s="56">
        <f>Y59-'Absolute Base'!$B$16+'Absolute Base'!$B$6+Z59</f>
        <v>980529.9164189</v>
      </c>
      <c r="AG59" s="66">
        <f t="shared" si="16"/>
        <v>-112.57257571083028</v>
      </c>
      <c r="AL59" s="63"/>
    </row>
    <row r="60" spans="1:38" s="14" customFormat="1" ht="12.75">
      <c r="A60" s="21" t="s">
        <v>107</v>
      </c>
      <c r="B60" s="22">
        <v>38276</v>
      </c>
      <c r="C60" s="23">
        <v>12</v>
      </c>
      <c r="D60" s="24">
        <v>23</v>
      </c>
      <c r="E60" s="41">
        <f aca="true" t="shared" si="20" ref="E60:E70">((B60-$B$59)*24)+((C60+(D60/60))-($C$59+($D$59/60)))</f>
        <v>0.4166666666666661</v>
      </c>
      <c r="F60" s="21">
        <v>46</v>
      </c>
      <c r="G60" s="21">
        <v>51</v>
      </c>
      <c r="H60" s="21">
        <v>31.69302</v>
      </c>
      <c r="I60" s="21">
        <v>117</v>
      </c>
      <c r="J60" s="21">
        <v>6</v>
      </c>
      <c r="K60" s="21">
        <v>22.28405</v>
      </c>
      <c r="L60" s="15">
        <f t="shared" si="10"/>
        <v>46.85880361666667</v>
      </c>
      <c r="M60" s="15">
        <f t="shared" si="11"/>
        <v>-117.10619001388888</v>
      </c>
      <c r="N60" s="25">
        <v>746.606</v>
      </c>
      <c r="O60" s="21">
        <v>4008.2</v>
      </c>
      <c r="P60" s="8">
        <f>(O60-VLOOKUP(O60,'Calib. Table'!$A$5:$C$75,1))*(VLOOKUP(O60,'Calib. Table'!$A$5:$C$75,3))+VLOOKUP(O60,'Calib. Table'!$A$5:$C$75,2)</f>
        <v>4102.0480339999995</v>
      </c>
      <c r="Q60" s="21">
        <v>14.365</v>
      </c>
      <c r="R60" s="52"/>
      <c r="S60" s="16"/>
      <c r="T60" s="16"/>
      <c r="U60" s="20">
        <f>IF(Meters!$D$1=1,P60+Q60,IF(Meters!D$1=2,S60,IF(Meters!$D$1=3,T60)))</f>
        <v>4116.413033999999</v>
      </c>
      <c r="V60" s="21">
        <v>0.056</v>
      </c>
      <c r="W60" s="8">
        <f t="shared" si="5"/>
        <v>4116.469033999999</v>
      </c>
      <c r="X60" s="25">
        <f t="shared" si="19"/>
        <v>-0.02225433526004934</v>
      </c>
      <c r="Y60" s="8">
        <f>IF(Meters!$D$1=3,T60,W60+X60)</f>
        <v>4116.446779664739</v>
      </c>
      <c r="Z60" s="16">
        <f aca="true" t="shared" si="21" ref="Z60:Z70">$Y$34-$Y$59</f>
        <v>0.9151848999999856</v>
      </c>
      <c r="AA60" s="16">
        <f t="shared" si="13"/>
        <v>980788.0694968426</v>
      </c>
      <c r="AB60" s="16">
        <f t="shared" si="14"/>
        <v>-230.31384322601085</v>
      </c>
      <c r="AC60" s="14">
        <f t="shared" si="15"/>
        <v>0.81</v>
      </c>
      <c r="AD60" s="16">
        <f>(N60-VLOOKUP(N60,'Bullard B Table'!$A$4:$B$67,1))*((VLOOKUP(N60+100,'Bullard B Table'!$A$4:$B$67,2)-VLOOKUP(N60,'Bullard B Table'!$A$4:$B$67,2))/100)+VLOOKUP(N60,'Bullard B Table'!$A$4:$B$67,2)+2*(PI())*(0.00000000006673)*N60*2670*100000</f>
        <v>84.475605989942</v>
      </c>
      <c r="AE60" s="21">
        <v>0.448</v>
      </c>
      <c r="AF60" s="8">
        <f>Y60-'Absolute Base'!$B$16+'Absolute Base'!$B$6+Z60</f>
        <v>980524.8901645647</v>
      </c>
      <c r="AG60" s="67">
        <f t="shared" si="16"/>
        <v>-116.08309504168574</v>
      </c>
      <c r="AL60" s="63"/>
    </row>
    <row r="61" spans="1:38" s="14" customFormat="1" ht="12.75">
      <c r="A61" s="21" t="s">
        <v>108</v>
      </c>
      <c r="B61" s="22">
        <v>38276</v>
      </c>
      <c r="C61" s="23">
        <v>12</v>
      </c>
      <c r="D61" s="24">
        <v>39</v>
      </c>
      <c r="E61" s="41">
        <f t="shared" si="20"/>
        <v>0.6833333333333336</v>
      </c>
      <c r="F61" s="21">
        <v>46</v>
      </c>
      <c r="G61" s="21">
        <v>51</v>
      </c>
      <c r="H61" s="21">
        <v>35.37957</v>
      </c>
      <c r="I61" s="21">
        <v>117</v>
      </c>
      <c r="J61" s="21">
        <v>6</v>
      </c>
      <c r="K61" s="21">
        <v>14.51587</v>
      </c>
      <c r="L61" s="15">
        <f t="shared" si="10"/>
        <v>46.85982765833334</v>
      </c>
      <c r="M61" s="15">
        <f t="shared" si="11"/>
        <v>-117.10403218611111</v>
      </c>
      <c r="N61" s="25">
        <v>747.348</v>
      </c>
      <c r="O61" s="21">
        <v>4008.2</v>
      </c>
      <c r="P61" s="8">
        <f>(O61-VLOOKUP(O61,'Calib. Table'!$A$5:$C$75,1))*(VLOOKUP(O61,'Calib. Table'!$A$5:$C$75,3))+VLOOKUP(O61,'Calib. Table'!$A$5:$C$75,2)</f>
        <v>4102.0480339999995</v>
      </c>
      <c r="Q61" s="21">
        <v>14.098</v>
      </c>
      <c r="R61" s="52"/>
      <c r="S61" s="16"/>
      <c r="T61" s="16"/>
      <c r="U61" s="20">
        <f>IF(Meters!$D$1=1,P61+Q61,IF(Meters!D$1=2,S61,IF(Meters!$D$1=3,T61)))</f>
        <v>4116.146033999999</v>
      </c>
      <c r="V61" s="21">
        <v>0.055</v>
      </c>
      <c r="W61" s="8">
        <f t="shared" si="5"/>
        <v>4116.201034</v>
      </c>
      <c r="X61" s="25">
        <f t="shared" si="19"/>
        <v>-0.03649710982648098</v>
      </c>
      <c r="Y61" s="8">
        <f>IF(Meters!$D$1=3,T61,W61+X61)</f>
        <v>4116.164536890174</v>
      </c>
      <c r="Z61" s="16">
        <f t="shared" si="21"/>
        <v>0.9151848999999856</v>
      </c>
      <c r="AA61" s="16">
        <f t="shared" si="13"/>
        <v>980788.1620158217</v>
      </c>
      <c r="AB61" s="16">
        <f t="shared" si="14"/>
        <v>-230.54269034773023</v>
      </c>
      <c r="AC61" s="14">
        <f t="shared" si="15"/>
        <v>0.81</v>
      </c>
      <c r="AD61" s="16">
        <f>(N61-VLOOKUP(N61,'Bullard B Table'!$A$4:$B$67,1))*((VLOOKUP(N61+100,'Bullard B Table'!$A$4:$B$67,2)-VLOOKUP(N61,'Bullard B Table'!$A$4:$B$67,2))/100)+VLOOKUP(N61,'Bullard B Table'!$A$4:$B$67,2)+2*(PI())*(0.00000000006673)*N61*2670*100000</f>
        <v>84.55936068471345</v>
      </c>
      <c r="AE61" s="21">
        <v>0.51</v>
      </c>
      <c r="AF61" s="8">
        <f>Y61-'Absolute Base'!$B$16+'Absolute Base'!$B$6+Z61</f>
        <v>980524.6079217902</v>
      </c>
      <c r="AG61" s="67">
        <f t="shared" si="16"/>
        <v>-116.25076436833479</v>
      </c>
      <c r="AL61" s="63"/>
    </row>
    <row r="62" spans="1:38" s="14" customFormat="1" ht="12.75">
      <c r="A62" s="21" t="s">
        <v>109</v>
      </c>
      <c r="B62" s="22">
        <v>38276</v>
      </c>
      <c r="C62" s="23">
        <v>12</v>
      </c>
      <c r="D62" s="24">
        <v>49</v>
      </c>
      <c r="E62" s="41">
        <f t="shared" si="20"/>
        <v>0.8499999999999996</v>
      </c>
      <c r="F62" s="21">
        <v>46</v>
      </c>
      <c r="G62" s="21">
        <v>51</v>
      </c>
      <c r="H62" s="21">
        <v>39.22785</v>
      </c>
      <c r="I62" s="21">
        <v>117</v>
      </c>
      <c r="J62" s="21">
        <v>6</v>
      </c>
      <c r="K62" s="21">
        <v>6.88033</v>
      </c>
      <c r="L62" s="15">
        <f t="shared" si="10"/>
        <v>46.860896625</v>
      </c>
      <c r="M62" s="15">
        <f t="shared" si="11"/>
        <v>-117.10191120277777</v>
      </c>
      <c r="N62" s="25">
        <v>747.887</v>
      </c>
      <c r="O62" s="21">
        <v>4008.2</v>
      </c>
      <c r="P62" s="8">
        <f>(O62-VLOOKUP(O62,'Calib. Table'!$A$5:$C$75,1))*(VLOOKUP(O62,'Calib. Table'!$A$5:$C$75,3))+VLOOKUP(O62,'Calib. Table'!$A$5:$C$75,2)</f>
        <v>4102.0480339999995</v>
      </c>
      <c r="Q62" s="21">
        <v>14.65</v>
      </c>
      <c r="R62" s="52"/>
      <c r="S62" s="16"/>
      <c r="T62" s="16"/>
      <c r="U62" s="20">
        <f>IF(Meters!$D$1=1,P62+Q62,IF(Meters!D$1=2,S62,IF(Meters!$D$1=3,T62)))</f>
        <v>4116.698033999999</v>
      </c>
      <c r="V62" s="21">
        <v>0.055</v>
      </c>
      <c r="W62" s="8">
        <f t="shared" si="5"/>
        <v>4116.753033999999</v>
      </c>
      <c r="X62" s="25">
        <f t="shared" si="19"/>
        <v>-0.0453988439305007</v>
      </c>
      <c r="Y62" s="8">
        <f>IF(Meters!$D$1=3,T62,W62+X62)</f>
        <v>4116.707635156069</v>
      </c>
      <c r="Z62" s="16">
        <f t="shared" si="21"/>
        <v>0.9151848999999856</v>
      </c>
      <c r="AA62" s="16">
        <f t="shared" si="13"/>
        <v>980788.2585934213</v>
      </c>
      <c r="AB62" s="16">
        <f t="shared" si="14"/>
        <v>-230.70892643195788</v>
      </c>
      <c r="AC62" s="14">
        <f t="shared" si="15"/>
        <v>0.81</v>
      </c>
      <c r="AD62" s="16">
        <f>(N62-VLOOKUP(N62,'Bullard B Table'!$A$4:$B$67,1))*((VLOOKUP(N62+100,'Bullard B Table'!$A$4:$B$67,2)-VLOOKUP(N62,'Bullard B Table'!$A$4:$B$67,2))/100)+VLOOKUP(N62,'Bullard B Table'!$A$4:$B$67,2)+2*(PI())*(0.00000000006673)*N62*2670*100000</f>
        <v>84.62020135921725</v>
      </c>
      <c r="AE62" s="21">
        <v>0.771</v>
      </c>
      <c r="AF62" s="8">
        <f>Y62-'Absolute Base'!$B$16+'Absolute Base'!$B$6+Z62</f>
        <v>980525.1510200561</v>
      </c>
      <c r="AG62" s="67">
        <f t="shared" si="16"/>
        <v>-115.437848292524</v>
      </c>
      <c r="AL62" s="63"/>
    </row>
    <row r="63" spans="1:38" s="14" customFormat="1" ht="12.75">
      <c r="A63" s="21" t="s">
        <v>110</v>
      </c>
      <c r="B63" s="22">
        <v>38276</v>
      </c>
      <c r="C63" s="23">
        <v>13</v>
      </c>
      <c r="D63" s="24">
        <v>3</v>
      </c>
      <c r="E63" s="41">
        <f t="shared" si="20"/>
        <v>1.083333333333334</v>
      </c>
      <c r="F63" s="21">
        <v>46</v>
      </c>
      <c r="G63" s="21">
        <v>51</v>
      </c>
      <c r="H63" s="21">
        <v>43.07514</v>
      </c>
      <c r="I63" s="21">
        <v>117</v>
      </c>
      <c r="J63" s="21">
        <v>5</v>
      </c>
      <c r="K63" s="21">
        <v>59.2892</v>
      </c>
      <c r="L63" s="15">
        <f t="shared" si="10"/>
        <v>46.86196531666667</v>
      </c>
      <c r="M63" s="15">
        <f t="shared" si="11"/>
        <v>-117.09980255555556</v>
      </c>
      <c r="N63" s="25">
        <v>748.551</v>
      </c>
      <c r="O63" s="21">
        <v>4008.2</v>
      </c>
      <c r="P63" s="8">
        <f>(O63-VLOOKUP(O63,'Calib. Table'!$A$5:$C$75,1))*(VLOOKUP(O63,'Calib. Table'!$A$5:$C$75,3))+VLOOKUP(O63,'Calib. Table'!$A$5:$C$75,2)</f>
        <v>4102.0480339999995</v>
      </c>
      <c r="Q63" s="21">
        <v>14.607</v>
      </c>
      <c r="R63" s="52"/>
      <c r="S63" s="16"/>
      <c r="T63" s="16"/>
      <c r="U63" s="20">
        <f>IF(Meters!$D$1=1,P63+Q63,IF(Meters!D$1=2,S63,IF(Meters!$D$1=3,T63)))</f>
        <v>4116.655033999999</v>
      </c>
      <c r="V63" s="21">
        <v>0.055</v>
      </c>
      <c r="W63" s="8">
        <f t="shared" si="5"/>
        <v>4116.710034</v>
      </c>
      <c r="X63" s="25">
        <f t="shared" si="19"/>
        <v>-0.057861271676128395</v>
      </c>
      <c r="Y63" s="8">
        <f>IF(Meters!$D$1=3,T63,W63+X63)</f>
        <v>4116.652172728323</v>
      </c>
      <c r="Z63" s="16">
        <f t="shared" si="21"/>
        <v>0.9151848999999856</v>
      </c>
      <c r="AA63" s="16">
        <f t="shared" si="13"/>
        <v>980788.3551459571</v>
      </c>
      <c r="AB63" s="16">
        <f t="shared" si="14"/>
        <v>-230.91371583695062</v>
      </c>
      <c r="AC63" s="14">
        <f t="shared" si="15"/>
        <v>0.81</v>
      </c>
      <c r="AD63" s="16">
        <f>(N63-VLOOKUP(N63,'Bullard B Table'!$A$4:$B$67,1))*((VLOOKUP(N63+100,'Bullard B Table'!$A$4:$B$67,2)-VLOOKUP(N63,'Bullard B Table'!$A$4:$B$67,2))/100)+VLOOKUP(N63,'Bullard B Table'!$A$4:$B$67,2)+2*(PI())*(0.00000000006673)*N63*2670*100000</f>
        <v>84.69515165211247</v>
      </c>
      <c r="AE63" s="21">
        <v>1.154</v>
      </c>
      <c r="AF63" s="8">
        <f>Y63-'Absolute Base'!$B$16+'Absolute Base'!$B$6+Z63</f>
        <v>980525.0955576283</v>
      </c>
      <c r="AG63" s="67">
        <f t="shared" si="16"/>
        <v>-115.07702414388768</v>
      </c>
      <c r="AL63" s="63"/>
    </row>
    <row r="64" spans="1:38" s="14" customFormat="1" ht="12.75">
      <c r="A64" s="21" t="s">
        <v>111</v>
      </c>
      <c r="B64" s="22">
        <v>38276</v>
      </c>
      <c r="C64" s="23">
        <v>13</v>
      </c>
      <c r="D64" s="24">
        <v>15</v>
      </c>
      <c r="E64" s="41">
        <f t="shared" si="20"/>
        <v>1.2833333333333332</v>
      </c>
      <c r="F64" s="21">
        <v>46</v>
      </c>
      <c r="G64" s="21">
        <v>51</v>
      </c>
      <c r="H64" s="21">
        <v>46.70684</v>
      </c>
      <c r="I64" s="21">
        <v>117</v>
      </c>
      <c r="J64" s="21">
        <v>5</v>
      </c>
      <c r="K64" s="21">
        <v>51.45737</v>
      </c>
      <c r="L64" s="15">
        <f t="shared" si="10"/>
        <v>46.86297412222223</v>
      </c>
      <c r="M64" s="15">
        <f t="shared" si="11"/>
        <v>-117.09762704722222</v>
      </c>
      <c r="N64" s="25">
        <v>750.212</v>
      </c>
      <c r="O64" s="21">
        <v>4008.2</v>
      </c>
      <c r="P64" s="8">
        <f>(O64-VLOOKUP(O64,'Calib. Table'!$A$5:$C$75,1))*(VLOOKUP(O64,'Calib. Table'!$A$5:$C$75,3))+VLOOKUP(O64,'Calib. Table'!$A$5:$C$75,2)</f>
        <v>4102.0480339999995</v>
      </c>
      <c r="Q64" s="21">
        <v>14.537</v>
      </c>
      <c r="R64" s="52"/>
      <c r="S64" s="16"/>
      <c r="T64" s="16"/>
      <c r="U64" s="20">
        <f>IF(Meters!$D$1=1,P64+Q64,IF(Meters!D$1=2,S64,IF(Meters!$D$1=3,T64)))</f>
        <v>4116.585034</v>
      </c>
      <c r="V64" s="21">
        <v>0.056</v>
      </c>
      <c r="W64" s="8">
        <f t="shared" si="5"/>
        <v>4116.641033999999</v>
      </c>
      <c r="X64" s="25">
        <f t="shared" si="19"/>
        <v>-0.06854335260095205</v>
      </c>
      <c r="Y64" s="8">
        <f>IF(Meters!$D$1=3,T64,W64+X64)</f>
        <v>4116.572490647399</v>
      </c>
      <c r="Z64" s="16">
        <f t="shared" si="21"/>
        <v>0.9151848999999856</v>
      </c>
      <c r="AA64" s="16">
        <f t="shared" si="13"/>
        <v>980788.4462877928</v>
      </c>
      <c r="AB64" s="16">
        <f t="shared" si="14"/>
        <v>-231.4260070056451</v>
      </c>
      <c r="AC64" s="14">
        <f t="shared" si="15"/>
        <v>0.81</v>
      </c>
      <c r="AD64" s="16">
        <f>(N64-VLOOKUP(N64,'Bullard B Table'!$A$4:$B$67,1))*((VLOOKUP(N64+100,'Bullard B Table'!$A$4:$B$67,2)-VLOOKUP(N64,'Bullard B Table'!$A$4:$B$67,2))/100)+VLOOKUP(N64,'Bullard B Table'!$A$4:$B$67,2)+2*(PI())*(0.00000000006673)*N64*2670*100000</f>
        <v>84.88264026129761</v>
      </c>
      <c r="AE64" s="21">
        <v>1.27</v>
      </c>
      <c r="AF64" s="8">
        <f>Y64-'Absolute Base'!$B$16+'Absolute Base'!$B$6+Z64</f>
        <v>980525.0158755474</v>
      </c>
      <c r="AG64" s="67">
        <f t="shared" si="16"/>
        <v>-114.80704550095834</v>
      </c>
      <c r="AL64" s="63"/>
    </row>
    <row r="65" spans="1:38" s="14" customFormat="1" ht="12.75">
      <c r="A65" s="21" t="s">
        <v>112</v>
      </c>
      <c r="B65" s="22">
        <v>38276</v>
      </c>
      <c r="C65" s="23">
        <v>13</v>
      </c>
      <c r="D65" s="24">
        <v>29</v>
      </c>
      <c r="E65" s="41">
        <f t="shared" si="20"/>
        <v>1.5166666666666657</v>
      </c>
      <c r="F65" s="21">
        <v>46</v>
      </c>
      <c r="G65" s="21">
        <v>51</v>
      </c>
      <c r="H65" s="21">
        <v>50.73206</v>
      </c>
      <c r="I65" s="21">
        <v>117</v>
      </c>
      <c r="J65" s="21">
        <v>5</v>
      </c>
      <c r="K65" s="21">
        <v>44.09834</v>
      </c>
      <c r="L65" s="15">
        <f t="shared" si="10"/>
        <v>46.86409223888889</v>
      </c>
      <c r="M65" s="15">
        <f t="shared" si="11"/>
        <v>-117.09558287222222</v>
      </c>
      <c r="N65" s="25">
        <v>751.832</v>
      </c>
      <c r="O65" s="21">
        <v>4008.2</v>
      </c>
      <c r="P65" s="8">
        <f>(O65-VLOOKUP(O65,'Calib. Table'!$A$5:$C$75,1))*(VLOOKUP(O65,'Calib. Table'!$A$5:$C$75,3))+VLOOKUP(O65,'Calib. Table'!$A$5:$C$75,2)</f>
        <v>4102.0480339999995</v>
      </c>
      <c r="Q65" s="21">
        <v>14.386</v>
      </c>
      <c r="R65" s="52"/>
      <c r="S65" s="16"/>
      <c r="T65" s="16"/>
      <c r="U65" s="20">
        <f>IF(Meters!$D$1=1,P65+Q65,IF(Meters!D$1=2,S65,IF(Meters!$D$1=3,T65)))</f>
        <v>4116.434034</v>
      </c>
      <c r="V65" s="21">
        <v>0.057</v>
      </c>
      <c r="W65" s="8">
        <f t="shared" si="5"/>
        <v>4116.491034</v>
      </c>
      <c r="X65" s="25">
        <f t="shared" si="19"/>
        <v>-0.08100578034657965</v>
      </c>
      <c r="Y65" s="8">
        <f>IF(Meters!$D$1=3,T65,W65+X65)</f>
        <v>4116.410028219653</v>
      </c>
      <c r="Z65" s="16">
        <f t="shared" si="21"/>
        <v>0.9151848999999856</v>
      </c>
      <c r="AA65" s="16">
        <f t="shared" si="13"/>
        <v>980788.5473052536</v>
      </c>
      <c r="AB65" s="16">
        <f t="shared" si="14"/>
        <v>-231.92565163644443</v>
      </c>
      <c r="AC65" s="14">
        <f t="shared" si="15"/>
        <v>0.81</v>
      </c>
      <c r="AD65" s="16">
        <f>(N65-VLOOKUP(N65,'Bullard B Table'!$A$4:$B$67,1))*((VLOOKUP(N65+100,'Bullard B Table'!$A$4:$B$67,2)-VLOOKUP(N65,'Bullard B Table'!$A$4:$B$67,2))/100)+VLOOKUP(N65,'Bullard B Table'!$A$4:$B$67,2)+2*(PI())*(0.00000000006673)*N65*2670*100000</f>
        <v>85.0655009156504</v>
      </c>
      <c r="AE65" s="21">
        <v>1.096</v>
      </c>
      <c r="AF65" s="8">
        <f>Y65-'Absolute Base'!$B$16+'Absolute Base'!$B$6+Z65</f>
        <v>980524.8534131197</v>
      </c>
      <c r="AG65" s="67">
        <f t="shared" si="16"/>
        <v>-114.9277414130047</v>
      </c>
      <c r="AL65" s="63"/>
    </row>
    <row r="66" spans="1:38" s="14" customFormat="1" ht="12.75">
      <c r="A66" s="21" t="s">
        <v>113</v>
      </c>
      <c r="B66" s="22">
        <v>38276</v>
      </c>
      <c r="C66" s="23">
        <v>13</v>
      </c>
      <c r="D66" s="24">
        <v>39</v>
      </c>
      <c r="E66" s="41">
        <f t="shared" si="20"/>
        <v>1.6833333333333336</v>
      </c>
      <c r="F66" s="21">
        <v>46</v>
      </c>
      <c r="G66" s="21">
        <v>51</v>
      </c>
      <c r="H66" s="21">
        <v>55.90214</v>
      </c>
      <c r="I66" s="21">
        <v>117</v>
      </c>
      <c r="J66" s="21">
        <v>5</v>
      </c>
      <c r="K66" s="21">
        <v>38.30793</v>
      </c>
      <c r="L66" s="15">
        <f t="shared" si="10"/>
        <v>46.86552837222222</v>
      </c>
      <c r="M66" s="15">
        <f t="shared" si="11"/>
        <v>-117.093974425</v>
      </c>
      <c r="N66" s="25">
        <v>750.896</v>
      </c>
      <c r="O66" s="21">
        <v>4008.2</v>
      </c>
      <c r="P66" s="8">
        <f>(O66-VLOOKUP(O66,'Calib. Table'!$A$5:$C$75,1))*(VLOOKUP(O66,'Calib. Table'!$A$5:$C$75,3))+VLOOKUP(O66,'Calib. Table'!$A$5:$C$75,2)</f>
        <v>4102.0480339999995</v>
      </c>
      <c r="Q66" s="21">
        <v>14.755</v>
      </c>
      <c r="R66" s="52"/>
      <c r="S66" s="16"/>
      <c r="T66" s="16"/>
      <c r="U66" s="20">
        <f>IF(Meters!$D$1=1,P66+Q66,IF(Meters!D$1=2,S66,IF(Meters!$D$1=3,T66)))</f>
        <v>4116.803034</v>
      </c>
      <c r="V66" s="21">
        <v>0.058</v>
      </c>
      <c r="W66" s="8">
        <f t="shared" si="5"/>
        <v>4116.861034</v>
      </c>
      <c r="X66" s="25">
        <f t="shared" si="19"/>
        <v>-0.08990751445059947</v>
      </c>
      <c r="Y66" s="8">
        <f>IF(Meters!$D$1=3,T66,W66+X66)</f>
        <v>4116.771126485549</v>
      </c>
      <c r="Z66" s="16">
        <f t="shared" si="21"/>
        <v>0.9151848999999856</v>
      </c>
      <c r="AA66" s="16">
        <f t="shared" si="13"/>
        <v>980788.677053923</v>
      </c>
      <c r="AB66" s="16">
        <f t="shared" si="14"/>
        <v>-231.63695614645283</v>
      </c>
      <c r="AC66" s="14">
        <f t="shared" si="15"/>
        <v>0.81</v>
      </c>
      <c r="AD66" s="16">
        <f>(N66-VLOOKUP(N66,'Bullard B Table'!$A$4:$B$67,1))*((VLOOKUP(N66+100,'Bullard B Table'!$A$4:$B$67,2)-VLOOKUP(N66,'Bullard B Table'!$A$4:$B$67,2))/100)+VLOOKUP(N66,'Bullard B Table'!$A$4:$B$67,2)+2*(PI())*(0.00000000006673)*N66*2670*100000</f>
        <v>84.95984809313545</v>
      </c>
      <c r="AE66" s="21">
        <v>1.216</v>
      </c>
      <c r="AF66" s="8">
        <f>Y66-'Absolute Base'!$B$16+'Absolute Base'!$B$6+Z66</f>
        <v>980525.2145113855</v>
      </c>
      <c r="AG66" s="67">
        <f t="shared" si="16"/>
        <v>-114.75943448406179</v>
      </c>
      <c r="AL66" s="63"/>
    </row>
    <row r="67" spans="1:38" s="14" customFormat="1" ht="12.75">
      <c r="A67" s="21" t="s">
        <v>114</v>
      </c>
      <c r="B67" s="22">
        <v>38276</v>
      </c>
      <c r="C67" s="23">
        <v>13</v>
      </c>
      <c r="D67" s="24">
        <v>53</v>
      </c>
      <c r="E67" s="41">
        <f t="shared" si="20"/>
        <v>1.916666666666666</v>
      </c>
      <c r="F67" s="21">
        <v>46</v>
      </c>
      <c r="G67" s="21">
        <v>52</v>
      </c>
      <c r="H67" s="21">
        <v>4.63088</v>
      </c>
      <c r="I67" s="21">
        <v>117</v>
      </c>
      <c r="J67" s="21">
        <v>5</v>
      </c>
      <c r="K67" s="21">
        <v>32.12506</v>
      </c>
      <c r="L67" s="15">
        <f t="shared" si="10"/>
        <v>46.867953022222224</v>
      </c>
      <c r="M67" s="15">
        <f t="shared" si="11"/>
        <v>-117.0922569611111</v>
      </c>
      <c r="N67" s="25">
        <v>753.98</v>
      </c>
      <c r="O67" s="21">
        <v>4008.2</v>
      </c>
      <c r="P67" s="8">
        <f>(O67-VLOOKUP(O67,'Calib. Table'!$A$5:$C$75,1))*(VLOOKUP(O67,'Calib. Table'!$A$5:$C$75,3))+VLOOKUP(O67,'Calib. Table'!$A$5:$C$75,2)</f>
        <v>4102.0480339999995</v>
      </c>
      <c r="Q67" s="21">
        <v>14.598</v>
      </c>
      <c r="R67" s="52"/>
      <c r="S67" s="16"/>
      <c r="T67" s="16"/>
      <c r="U67" s="20">
        <f>IF(Meters!$D$1=1,P67+Q67,IF(Meters!D$1=2,S67,IF(Meters!$D$1=3,T67)))</f>
        <v>4116.646033999999</v>
      </c>
      <c r="V67" s="21">
        <v>0.06</v>
      </c>
      <c r="W67" s="8">
        <f t="shared" si="5"/>
        <v>4116.706034</v>
      </c>
      <c r="X67" s="25">
        <f t="shared" si="19"/>
        <v>-0.10236994219622707</v>
      </c>
      <c r="Y67" s="8">
        <f>IF(Meters!$D$1=3,T67,W67+X67)</f>
        <v>4116.603664057803</v>
      </c>
      <c r="Z67" s="16">
        <f t="shared" si="21"/>
        <v>0.9151848999999856</v>
      </c>
      <c r="AA67" s="16">
        <f t="shared" si="13"/>
        <v>980788.8961100618</v>
      </c>
      <c r="AB67" s="16">
        <f t="shared" si="14"/>
        <v>-232.58812904557536</v>
      </c>
      <c r="AC67" s="14">
        <f t="shared" si="15"/>
        <v>0.81</v>
      </c>
      <c r="AD67" s="16">
        <f>(N67-VLOOKUP(N67,'Bullard B Table'!$A$4:$B$67,1))*((VLOOKUP(N67+100,'Bullard B Table'!$A$4:$B$67,2)-VLOOKUP(N67,'Bullard B Table'!$A$4:$B$67,2))/100)+VLOOKUP(N67,'Bullard B Table'!$A$4:$B$67,2)+2*(PI())*(0.00000000006673)*N67*2670*100000</f>
        <v>85.30796059808851</v>
      </c>
      <c r="AE67" s="21">
        <v>1.338</v>
      </c>
      <c r="AF67" s="8">
        <f>Y67-'Absolute Base'!$B$16+'Absolute Base'!$B$6+Z67</f>
        <v>980525.0470489578</v>
      </c>
      <c r="AG67" s="67">
        <f t="shared" si="16"/>
        <v>-114.42089265643153</v>
      </c>
      <c r="AL67" s="63"/>
    </row>
    <row r="68" spans="1:38" s="14" customFormat="1" ht="12.75">
      <c r="A68" s="21" t="s">
        <v>115</v>
      </c>
      <c r="B68" s="22">
        <v>38276</v>
      </c>
      <c r="C68" s="23">
        <v>14</v>
      </c>
      <c r="D68" s="24">
        <v>10</v>
      </c>
      <c r="E68" s="41">
        <f t="shared" si="20"/>
        <v>2.1999999999999993</v>
      </c>
      <c r="F68" s="21">
        <v>46</v>
      </c>
      <c r="G68" s="21">
        <v>52</v>
      </c>
      <c r="H68" s="21">
        <v>13.41179</v>
      </c>
      <c r="I68" s="21">
        <v>117</v>
      </c>
      <c r="J68" s="21">
        <v>5</v>
      </c>
      <c r="K68" s="21">
        <v>26.7377</v>
      </c>
      <c r="L68" s="15">
        <f t="shared" si="10"/>
        <v>46.87039216388889</v>
      </c>
      <c r="M68" s="15">
        <f t="shared" si="11"/>
        <v>-117.09076047222221</v>
      </c>
      <c r="N68" s="25">
        <v>755.597</v>
      </c>
      <c r="O68" s="21">
        <v>4008.2</v>
      </c>
      <c r="P68" s="8">
        <f>(O68-VLOOKUP(O68,'Calib. Table'!$A$5:$C$75,1))*(VLOOKUP(O68,'Calib. Table'!$A$5:$C$75,3))+VLOOKUP(O68,'Calib. Table'!$A$5:$C$75,2)</f>
        <v>4102.0480339999995</v>
      </c>
      <c r="Q68" s="21">
        <v>15.527</v>
      </c>
      <c r="R68" s="52"/>
      <c r="S68" s="16"/>
      <c r="T68" s="16"/>
      <c r="U68" s="20">
        <f>IF(Meters!$D$1=1,P68+Q68,IF(Meters!D$1=2,S68,IF(Meters!$D$1=3,T68)))</f>
        <v>4117.5750339999995</v>
      </c>
      <c r="V68" s="21">
        <v>0.062</v>
      </c>
      <c r="W68" s="8">
        <f>U68+V68</f>
        <v>4117.637033999999</v>
      </c>
      <c r="X68" s="25">
        <f t="shared" si="19"/>
        <v>-0.11750289017306063</v>
      </c>
      <c r="Y68" s="8">
        <f>IF(Meters!$D$1=3,T68,W68+X68)</f>
        <v>4117.519531109826</v>
      </c>
      <c r="Z68" s="16">
        <f t="shared" si="21"/>
        <v>0.9151848999999856</v>
      </c>
      <c r="AA68" s="16">
        <f t="shared" si="13"/>
        <v>980789.1164743182</v>
      </c>
      <c r="AB68" s="16">
        <f t="shared" si="14"/>
        <v>-233.08683977916235</v>
      </c>
      <c r="AC68" s="14">
        <f t="shared" si="15"/>
        <v>0.81</v>
      </c>
      <c r="AD68" s="16">
        <f>(N68-VLOOKUP(N68,'Bullard B Table'!$A$4:$B$67,1))*((VLOOKUP(N68+100,'Bullard B Table'!$A$4:$B$67,2)-VLOOKUP(N68,'Bullard B Table'!$A$4:$B$67,2))/100)+VLOOKUP(N68,'Bullard B Table'!$A$4:$B$67,2)+2*(PI())*(0.00000000006673)*N68*2670*100000</f>
        <v>85.49048262159988</v>
      </c>
      <c r="AE68" s="21">
        <v>0.88</v>
      </c>
      <c r="AF68" s="8">
        <f>Y68-'Absolute Base'!$B$16+'Absolute Base'!$B$6+Z68</f>
        <v>980525.9629160098</v>
      </c>
      <c r="AG68" s="67">
        <f t="shared" si="16"/>
        <v>-113.86720115074422</v>
      </c>
      <c r="AL68" s="63"/>
    </row>
    <row r="69" spans="1:38" s="14" customFormat="1" ht="12.75">
      <c r="A69" s="21" t="s">
        <v>116</v>
      </c>
      <c r="B69" s="22">
        <v>38276</v>
      </c>
      <c r="C69" s="23">
        <v>14</v>
      </c>
      <c r="D69" s="24">
        <v>29</v>
      </c>
      <c r="E69" s="41">
        <f t="shared" si="20"/>
        <v>2.5166666666666657</v>
      </c>
      <c r="F69" s="21">
        <v>46</v>
      </c>
      <c r="G69" s="21">
        <v>52</v>
      </c>
      <c r="H69" s="21">
        <v>23.65575</v>
      </c>
      <c r="I69" s="21">
        <v>117</v>
      </c>
      <c r="J69" s="21">
        <v>5</v>
      </c>
      <c r="K69" s="21">
        <v>30.0211</v>
      </c>
      <c r="L69" s="15">
        <f t="shared" si="10"/>
        <v>46.873237708333335</v>
      </c>
      <c r="M69" s="15">
        <f t="shared" si="11"/>
        <v>-117.09167252777777</v>
      </c>
      <c r="N69" s="25">
        <v>758.892</v>
      </c>
      <c r="O69" s="21">
        <v>4008.2</v>
      </c>
      <c r="P69" s="8">
        <f>(O69-VLOOKUP(O69,'Calib. Table'!$A$5:$C$75,1))*(VLOOKUP(O69,'Calib. Table'!$A$5:$C$75,3))+VLOOKUP(O69,'Calib. Table'!$A$5:$C$75,2)</f>
        <v>4102.0480339999995</v>
      </c>
      <c r="Q69" s="21">
        <v>15.42</v>
      </c>
      <c r="R69" s="52"/>
      <c r="S69" s="16"/>
      <c r="T69" s="16"/>
      <c r="U69" s="20">
        <f>IF(Meters!$D$1=1,P69+Q69,IF(Meters!D$1=2,S69,IF(Meters!$D$1=3,T69)))</f>
        <v>4117.4680339999995</v>
      </c>
      <c r="V69" s="21">
        <v>0.066</v>
      </c>
      <c r="W69" s="8">
        <f>U69+V69</f>
        <v>4117.534033999999</v>
      </c>
      <c r="X69" s="25">
        <f t="shared" si="19"/>
        <v>-0.13441618497069815</v>
      </c>
      <c r="Y69" s="8">
        <f>IF(Meters!$D$1=3,T69,W69+X69)</f>
        <v>4117.399617815028</v>
      </c>
      <c r="Z69" s="16">
        <f t="shared" si="21"/>
        <v>0.9151848999999856</v>
      </c>
      <c r="AA69" s="16">
        <f t="shared" si="13"/>
        <v>980789.373553588</v>
      </c>
      <c r="AB69" s="16">
        <f t="shared" si="14"/>
        <v>-234.10308569593994</v>
      </c>
      <c r="AC69" s="14">
        <f t="shared" si="15"/>
        <v>0.81</v>
      </c>
      <c r="AD69" s="16">
        <f>(N69-VLOOKUP(N69,'Bullard B Table'!$A$4:$B$67,1))*((VLOOKUP(N69+100,'Bullard B Table'!$A$4:$B$67,2)-VLOOKUP(N69,'Bullard B Table'!$A$4:$B$67,2))/100)+VLOOKUP(N69,'Bullard B Table'!$A$4:$B$67,2)+2*(PI())*(0.00000000006673)*N69*2670*100000</f>
        <v>85.86241216239766</v>
      </c>
      <c r="AE69" s="21">
        <v>0.971</v>
      </c>
      <c r="AF69" s="8">
        <f>Y69-'Absolute Base'!$B$16+'Absolute Base'!$B$6+Z69</f>
        <v>980525.843002715</v>
      </c>
      <c r="AG69" s="67">
        <f t="shared" si="16"/>
        <v>-113.50887733942363</v>
      </c>
      <c r="AL69" s="63"/>
    </row>
    <row r="70" spans="1:38" s="14" customFormat="1" ht="12.75">
      <c r="A70" s="42" t="s">
        <v>52</v>
      </c>
      <c r="B70" s="39">
        <v>38276</v>
      </c>
      <c r="C70" s="49">
        <v>14</v>
      </c>
      <c r="D70" s="50">
        <v>51</v>
      </c>
      <c r="E70" s="40">
        <f t="shared" si="20"/>
        <v>2.883333333333333</v>
      </c>
      <c r="F70" s="42">
        <v>46</v>
      </c>
      <c r="G70" s="42">
        <v>51</v>
      </c>
      <c r="H70" s="42">
        <v>32.41159</v>
      </c>
      <c r="I70" s="42">
        <v>117</v>
      </c>
      <c r="J70" s="42">
        <v>7</v>
      </c>
      <c r="K70" s="42">
        <v>56.68086</v>
      </c>
      <c r="L70" s="53">
        <f t="shared" si="10"/>
        <v>46.859003219444446</v>
      </c>
      <c r="M70" s="53">
        <f t="shared" si="11"/>
        <v>-117.13241135</v>
      </c>
      <c r="N70" s="43">
        <v>736.334</v>
      </c>
      <c r="O70" s="42">
        <v>4008.2</v>
      </c>
      <c r="P70" s="56">
        <f>(O70-VLOOKUP(O70,'Calib. Table'!$A$5:$C$75,1))*(VLOOKUP(O70,'Calib. Table'!$A$5:$C$75,3))+VLOOKUP(O70,'Calib. Table'!$A$5:$C$75,2)</f>
        <v>4102.0480339999995</v>
      </c>
      <c r="Q70" s="42">
        <v>19.508</v>
      </c>
      <c r="R70" s="59"/>
      <c r="S70" s="54"/>
      <c r="T70" s="54"/>
      <c r="U70" s="58">
        <f>IF(Meters!$D$1=1,P70+Q70,IF(Meters!D$1=2,S70,IF(Meters!$D$1=3,T70)))</f>
        <v>4121.556033999999</v>
      </c>
      <c r="V70" s="42">
        <v>0.071</v>
      </c>
      <c r="W70" s="56">
        <f>U70+V70</f>
        <v>4121.627033999999</v>
      </c>
      <c r="X70" s="43">
        <f t="shared" si="19"/>
        <v>-0.15399999999954161</v>
      </c>
      <c r="Y70" s="56">
        <f>IF(Meters!$D$1=3,T70,W70+X70)</f>
        <v>4121.473034</v>
      </c>
      <c r="Z70" s="54">
        <f t="shared" si="21"/>
        <v>0.9151848999999856</v>
      </c>
      <c r="AA70" s="54">
        <f t="shared" si="13"/>
        <v>980788.0875303483</v>
      </c>
      <c r="AB70" s="54">
        <f t="shared" si="14"/>
        <v>-227.14566972640597</v>
      </c>
      <c r="AC70" s="55">
        <f t="shared" si="15"/>
        <v>0.81</v>
      </c>
      <c r="AD70" s="54">
        <f>(N70-VLOOKUP(N70,'Bullard B Table'!$A$4:$B$67,1))*((VLOOKUP(N70+100,'Bullard B Table'!$A$4:$B$67,2)-VLOOKUP(N70,'Bullard B Table'!$A$4:$B$67,2))/100)+VLOOKUP(N70,'Bullard B Table'!$A$4:$B$67,2)+2*(PI())*(0.00000000006673)*N70*2670*100000</f>
        <v>83.31613398900885</v>
      </c>
      <c r="AE70" s="42">
        <v>0.959</v>
      </c>
      <c r="AF70" s="56">
        <f>Y70-'Absolute Base'!$B$16+'Absolute Base'!$B$6+Z70</f>
        <v>980529.9164189</v>
      </c>
      <c r="AG70" s="66">
        <f t="shared" si="16"/>
        <v>-112.57257571083028</v>
      </c>
      <c r="AL70" s="63"/>
    </row>
    <row r="71" spans="1:38" s="14" customFormat="1" ht="12.75">
      <c r="A71" s="21"/>
      <c r="B71" s="22"/>
      <c r="C71" s="23"/>
      <c r="D71" s="24"/>
      <c r="E71" s="41"/>
      <c r="F71" s="21"/>
      <c r="G71" s="21"/>
      <c r="H71" s="21"/>
      <c r="I71" s="21"/>
      <c r="J71" s="21"/>
      <c r="K71" s="21"/>
      <c r="L71" s="15"/>
      <c r="M71" s="15"/>
      <c r="N71" s="25"/>
      <c r="O71" s="21"/>
      <c r="P71" s="8"/>
      <c r="Q71" s="21"/>
      <c r="R71" s="52"/>
      <c r="S71" s="16"/>
      <c r="T71" s="16"/>
      <c r="U71" s="20"/>
      <c r="V71" s="21"/>
      <c r="W71" s="8"/>
      <c r="X71" s="25"/>
      <c r="Y71" s="8"/>
      <c r="Z71" s="16"/>
      <c r="AA71" s="16"/>
      <c r="AB71" s="16"/>
      <c r="AD71" s="16"/>
      <c r="AE71" s="21"/>
      <c r="AF71" s="8"/>
      <c r="AG71" s="70"/>
      <c r="AL71" s="63"/>
    </row>
    <row r="72" spans="1:38" s="14" customFormat="1" ht="12.75">
      <c r="A72" s="21"/>
      <c r="B72" s="22"/>
      <c r="C72" s="23"/>
      <c r="D72" s="24"/>
      <c r="E72" s="41"/>
      <c r="F72" s="21"/>
      <c r="G72" s="21"/>
      <c r="H72" s="21"/>
      <c r="I72" s="21"/>
      <c r="J72" s="21"/>
      <c r="K72" s="21"/>
      <c r="L72" s="15"/>
      <c r="M72" s="15"/>
      <c r="N72" s="25"/>
      <c r="O72" s="21"/>
      <c r="P72" s="8"/>
      <c r="Q72" s="21"/>
      <c r="R72" s="52"/>
      <c r="S72" s="16"/>
      <c r="T72" s="16"/>
      <c r="U72" s="20"/>
      <c r="V72" s="21"/>
      <c r="W72" s="8"/>
      <c r="X72" s="25"/>
      <c r="Y72" s="8"/>
      <c r="Z72" s="16"/>
      <c r="AA72" s="16"/>
      <c r="AB72" s="16"/>
      <c r="AD72" s="16"/>
      <c r="AE72" s="21"/>
      <c r="AF72" s="8"/>
      <c r="AG72" s="70"/>
      <c r="AL72" s="63"/>
    </row>
    <row r="73" spans="1:38" s="14" customFormat="1" ht="12.75">
      <c r="A73" s="21"/>
      <c r="B73" s="22"/>
      <c r="C73" s="23"/>
      <c r="D73" s="24"/>
      <c r="E73" s="41"/>
      <c r="F73" s="21"/>
      <c r="G73" s="21"/>
      <c r="H73" s="21"/>
      <c r="I73" s="21"/>
      <c r="J73" s="21"/>
      <c r="K73" s="21"/>
      <c r="L73" s="15"/>
      <c r="M73" s="15"/>
      <c r="N73" s="25"/>
      <c r="O73" s="21"/>
      <c r="P73" s="8"/>
      <c r="Q73" s="21"/>
      <c r="R73" s="52"/>
      <c r="S73" s="16"/>
      <c r="T73" s="16"/>
      <c r="U73" s="20"/>
      <c r="V73" s="21"/>
      <c r="W73" s="8"/>
      <c r="X73" s="25"/>
      <c r="Y73" s="8"/>
      <c r="Z73" s="16"/>
      <c r="AA73" s="16"/>
      <c r="AB73" s="16"/>
      <c r="AD73" s="16"/>
      <c r="AE73" s="21"/>
      <c r="AF73" s="8"/>
      <c r="AG73" s="70"/>
      <c r="AL73" s="63"/>
    </row>
    <row r="74" spans="1:38" s="14" customFormat="1" ht="12.75">
      <c r="A74" s="21"/>
      <c r="B74" s="22"/>
      <c r="C74" s="23"/>
      <c r="D74" s="24"/>
      <c r="E74" s="41"/>
      <c r="F74" s="21"/>
      <c r="G74" s="21"/>
      <c r="H74" s="21"/>
      <c r="I74" s="21"/>
      <c r="J74" s="21"/>
      <c r="K74" s="21"/>
      <c r="L74" s="15"/>
      <c r="M74" s="15"/>
      <c r="N74" s="25"/>
      <c r="O74" s="21"/>
      <c r="P74" s="8"/>
      <c r="Q74" s="21"/>
      <c r="R74" s="52"/>
      <c r="S74" s="16"/>
      <c r="T74" s="16"/>
      <c r="U74" s="20"/>
      <c r="V74" s="21"/>
      <c r="W74" s="8"/>
      <c r="X74" s="25"/>
      <c r="Y74" s="8"/>
      <c r="Z74" s="16"/>
      <c r="AA74" s="16"/>
      <c r="AB74" s="16"/>
      <c r="AD74" s="16"/>
      <c r="AE74" s="21"/>
      <c r="AF74" s="8"/>
      <c r="AG74" s="70"/>
      <c r="AL74" s="63"/>
    </row>
    <row r="75" spans="1:38" s="14" customFormat="1" ht="12.75">
      <c r="A75" s="21"/>
      <c r="B75" s="22"/>
      <c r="C75" s="23"/>
      <c r="D75" s="24"/>
      <c r="E75" s="41"/>
      <c r="F75" s="21"/>
      <c r="G75" s="21"/>
      <c r="H75" s="21"/>
      <c r="I75" s="21"/>
      <c r="J75" s="21"/>
      <c r="K75" s="21"/>
      <c r="L75" s="15"/>
      <c r="M75" s="15"/>
      <c r="N75" s="25"/>
      <c r="O75" s="21"/>
      <c r="P75" s="8"/>
      <c r="Q75" s="21"/>
      <c r="R75" s="52"/>
      <c r="S75" s="16"/>
      <c r="T75" s="16"/>
      <c r="U75" s="20"/>
      <c r="V75" s="21"/>
      <c r="W75" s="8"/>
      <c r="X75" s="25"/>
      <c r="Y75" s="8"/>
      <c r="Z75" s="16"/>
      <c r="AA75" s="16"/>
      <c r="AB75" s="16"/>
      <c r="AD75" s="16"/>
      <c r="AE75" s="21"/>
      <c r="AF75" s="8"/>
      <c r="AG75" s="70"/>
      <c r="AL75" s="63"/>
    </row>
    <row r="76" spans="1:38" s="14" customFormat="1" ht="12.75">
      <c r="A76" s="21"/>
      <c r="B76" s="22"/>
      <c r="C76" s="23"/>
      <c r="D76" s="24"/>
      <c r="E76" s="41"/>
      <c r="F76" s="21"/>
      <c r="G76" s="21"/>
      <c r="H76" s="21"/>
      <c r="I76" s="21"/>
      <c r="J76" s="21"/>
      <c r="K76" s="21"/>
      <c r="L76" s="15"/>
      <c r="M76" s="15"/>
      <c r="N76" s="25"/>
      <c r="O76" s="21"/>
      <c r="P76" s="8"/>
      <c r="Q76" s="21"/>
      <c r="R76" s="52"/>
      <c r="S76" s="16"/>
      <c r="T76" s="16"/>
      <c r="U76" s="20"/>
      <c r="V76" s="21"/>
      <c r="W76" s="8"/>
      <c r="X76" s="25"/>
      <c r="Y76" s="8"/>
      <c r="Z76" s="16"/>
      <c r="AA76" s="16"/>
      <c r="AB76" s="16"/>
      <c r="AD76" s="16"/>
      <c r="AE76" s="21"/>
      <c r="AF76" s="8"/>
      <c r="AG76" s="70"/>
      <c r="AL76" s="63"/>
    </row>
    <row r="77" spans="1:38" s="14" customFormat="1" ht="12.75">
      <c r="A77" s="21"/>
      <c r="B77" s="22"/>
      <c r="C77" s="23"/>
      <c r="D77" s="24"/>
      <c r="E77" s="41"/>
      <c r="F77" s="21"/>
      <c r="G77" s="21"/>
      <c r="H77" s="21"/>
      <c r="I77" s="21"/>
      <c r="J77" s="21"/>
      <c r="K77" s="21"/>
      <c r="L77" s="15"/>
      <c r="M77" s="15"/>
      <c r="N77" s="25"/>
      <c r="O77" s="21"/>
      <c r="P77" s="8"/>
      <c r="Q77" s="21"/>
      <c r="R77" s="52"/>
      <c r="S77" s="16"/>
      <c r="T77" s="16"/>
      <c r="U77" s="20"/>
      <c r="V77" s="21"/>
      <c r="W77" s="8"/>
      <c r="X77" s="25"/>
      <c r="Y77" s="8"/>
      <c r="Z77" s="16"/>
      <c r="AA77" s="16"/>
      <c r="AB77" s="16"/>
      <c r="AD77" s="16"/>
      <c r="AE77" s="21"/>
      <c r="AF77" s="8"/>
      <c r="AG77" s="70"/>
      <c r="AL77" s="63"/>
    </row>
    <row r="78" spans="1:38" s="14" customFormat="1" ht="12.75">
      <c r="A78" s="21"/>
      <c r="B78" s="22"/>
      <c r="C78" s="23"/>
      <c r="D78" s="24"/>
      <c r="E78" s="41"/>
      <c r="F78" s="21"/>
      <c r="G78" s="21"/>
      <c r="H78" s="21"/>
      <c r="I78" s="21"/>
      <c r="J78" s="21"/>
      <c r="K78" s="21"/>
      <c r="L78" s="15"/>
      <c r="M78" s="15"/>
      <c r="N78" s="25"/>
      <c r="O78" s="21"/>
      <c r="P78" s="8"/>
      <c r="Q78" s="21"/>
      <c r="R78" s="52"/>
      <c r="S78" s="16"/>
      <c r="T78" s="16"/>
      <c r="U78" s="20"/>
      <c r="V78" s="21"/>
      <c r="W78" s="8"/>
      <c r="X78" s="25"/>
      <c r="Y78" s="8"/>
      <c r="Z78" s="16"/>
      <c r="AA78" s="16"/>
      <c r="AB78" s="16"/>
      <c r="AD78" s="16"/>
      <c r="AE78" s="21"/>
      <c r="AF78" s="8"/>
      <c r="AG78" s="70"/>
      <c r="AL78" s="63"/>
    </row>
    <row r="79" spans="1:38" s="14" customFormat="1" ht="12.75">
      <c r="A79" s="21"/>
      <c r="B79" s="22"/>
      <c r="C79" s="23"/>
      <c r="D79" s="24"/>
      <c r="E79" s="41"/>
      <c r="F79" s="21"/>
      <c r="G79" s="21"/>
      <c r="H79" s="21"/>
      <c r="I79" s="21"/>
      <c r="J79" s="21"/>
      <c r="K79" s="21"/>
      <c r="L79" s="15"/>
      <c r="M79" s="15"/>
      <c r="N79" s="25"/>
      <c r="O79" s="21"/>
      <c r="P79" s="8"/>
      <c r="Q79" s="21"/>
      <c r="R79" s="52"/>
      <c r="S79" s="16"/>
      <c r="T79" s="16"/>
      <c r="U79" s="20"/>
      <c r="V79" s="21"/>
      <c r="W79" s="8"/>
      <c r="X79" s="25"/>
      <c r="Y79" s="8"/>
      <c r="Z79" s="16"/>
      <c r="AA79" s="16"/>
      <c r="AB79" s="16"/>
      <c r="AD79" s="16"/>
      <c r="AE79" s="21"/>
      <c r="AF79" s="8"/>
      <c r="AG79" s="70"/>
      <c r="AL79" s="63"/>
    </row>
    <row r="80" spans="1:38" s="14" customFormat="1" ht="12.75">
      <c r="A80" s="21"/>
      <c r="B80" s="22"/>
      <c r="C80" s="23"/>
      <c r="D80" s="24"/>
      <c r="E80" s="41"/>
      <c r="F80" s="21"/>
      <c r="G80" s="21"/>
      <c r="H80" s="21"/>
      <c r="I80" s="21"/>
      <c r="J80" s="21"/>
      <c r="K80" s="21"/>
      <c r="L80" s="15"/>
      <c r="M80" s="15"/>
      <c r="N80" s="25"/>
      <c r="O80" s="21"/>
      <c r="P80" s="8"/>
      <c r="Q80" s="21"/>
      <c r="R80" s="52"/>
      <c r="S80" s="16"/>
      <c r="T80" s="16"/>
      <c r="U80" s="20"/>
      <c r="V80" s="21"/>
      <c r="W80" s="8"/>
      <c r="X80" s="25"/>
      <c r="Y80" s="8"/>
      <c r="Z80" s="16"/>
      <c r="AA80" s="16"/>
      <c r="AB80" s="16"/>
      <c r="AD80" s="16"/>
      <c r="AE80" s="21"/>
      <c r="AF80" s="8"/>
      <c r="AG80" s="70"/>
      <c r="AL80" s="63"/>
    </row>
    <row r="81" spans="1:38" s="14" customFormat="1" ht="12.75">
      <c r="A81" s="21"/>
      <c r="B81" s="22"/>
      <c r="C81" s="23"/>
      <c r="D81" s="24"/>
      <c r="E81" s="41"/>
      <c r="F81" s="21"/>
      <c r="G81" s="21"/>
      <c r="H81" s="21"/>
      <c r="I81" s="21"/>
      <c r="J81" s="21"/>
      <c r="K81" s="21"/>
      <c r="L81" s="15"/>
      <c r="M81" s="15"/>
      <c r="N81" s="25"/>
      <c r="O81" s="21"/>
      <c r="P81" s="8"/>
      <c r="Q81" s="21"/>
      <c r="R81" s="52"/>
      <c r="S81" s="16"/>
      <c r="T81" s="16"/>
      <c r="U81" s="20"/>
      <c r="V81" s="21"/>
      <c r="W81" s="8"/>
      <c r="X81" s="25"/>
      <c r="Y81" s="8"/>
      <c r="Z81" s="16"/>
      <c r="AA81" s="16"/>
      <c r="AB81" s="16"/>
      <c r="AD81" s="16"/>
      <c r="AE81" s="21"/>
      <c r="AF81" s="8"/>
      <c r="AG81" s="70"/>
      <c r="AL81" s="63"/>
    </row>
    <row r="82" spans="1:38" s="14" customFormat="1" ht="12.75">
      <c r="A82" s="21"/>
      <c r="B82" s="22"/>
      <c r="C82" s="23"/>
      <c r="D82" s="24"/>
      <c r="E82" s="41"/>
      <c r="F82" s="21"/>
      <c r="G82" s="21"/>
      <c r="H82" s="21"/>
      <c r="I82" s="21"/>
      <c r="J82" s="21"/>
      <c r="K82" s="21"/>
      <c r="L82" s="15"/>
      <c r="M82" s="15"/>
      <c r="N82" s="25"/>
      <c r="O82" s="21"/>
      <c r="P82" s="8"/>
      <c r="Q82" s="21"/>
      <c r="R82" s="52"/>
      <c r="S82" s="16"/>
      <c r="T82" s="16"/>
      <c r="U82" s="20"/>
      <c r="V82" s="21"/>
      <c r="W82" s="8"/>
      <c r="X82" s="25"/>
      <c r="Y82" s="8"/>
      <c r="Z82" s="16"/>
      <c r="AA82" s="16"/>
      <c r="AB82" s="16"/>
      <c r="AD82" s="16"/>
      <c r="AE82" s="21"/>
      <c r="AF82" s="8"/>
      <c r="AG82" s="70"/>
      <c r="AL82" s="63"/>
    </row>
    <row r="83" spans="1:38" s="14" customFormat="1" ht="12.75">
      <c r="A83" s="21"/>
      <c r="B83" s="22"/>
      <c r="C83" s="23"/>
      <c r="D83" s="24"/>
      <c r="E83" s="41"/>
      <c r="F83" s="21"/>
      <c r="G83" s="21"/>
      <c r="H83" s="21"/>
      <c r="I83" s="21"/>
      <c r="J83" s="21"/>
      <c r="K83" s="21"/>
      <c r="L83" s="15"/>
      <c r="M83" s="15"/>
      <c r="N83" s="25"/>
      <c r="O83" s="21"/>
      <c r="P83" s="8"/>
      <c r="Q83" s="21"/>
      <c r="R83" s="52"/>
      <c r="S83" s="16"/>
      <c r="T83" s="16"/>
      <c r="U83" s="20"/>
      <c r="V83" s="21"/>
      <c r="W83" s="8"/>
      <c r="X83" s="25"/>
      <c r="Y83" s="8"/>
      <c r="Z83" s="16"/>
      <c r="AA83" s="16"/>
      <c r="AB83" s="16"/>
      <c r="AD83" s="16"/>
      <c r="AE83" s="21"/>
      <c r="AF83" s="8"/>
      <c r="AG83" s="70"/>
      <c r="AL83" s="63"/>
    </row>
    <row r="84" spans="1:38" s="14" customFormat="1" ht="12.75">
      <c r="A84" s="21"/>
      <c r="B84" s="22"/>
      <c r="C84" s="23"/>
      <c r="D84" s="24"/>
      <c r="E84" s="41"/>
      <c r="F84" s="21"/>
      <c r="G84" s="21"/>
      <c r="H84" s="21"/>
      <c r="I84" s="21"/>
      <c r="J84" s="21"/>
      <c r="K84" s="21"/>
      <c r="L84" s="15"/>
      <c r="M84" s="15"/>
      <c r="N84" s="25"/>
      <c r="O84" s="21"/>
      <c r="P84" s="8"/>
      <c r="Q84" s="21"/>
      <c r="R84" s="52"/>
      <c r="S84" s="16"/>
      <c r="T84" s="16"/>
      <c r="U84" s="20"/>
      <c r="V84" s="21"/>
      <c r="W84" s="8"/>
      <c r="X84" s="25"/>
      <c r="Y84" s="8"/>
      <c r="Z84" s="16"/>
      <c r="AA84" s="16"/>
      <c r="AB84" s="16"/>
      <c r="AD84" s="16"/>
      <c r="AE84" s="21"/>
      <c r="AF84" s="8"/>
      <c r="AG84" s="70"/>
      <c r="AL84" s="63"/>
    </row>
    <row r="85" spans="1:38" s="14" customFormat="1" ht="12.75">
      <c r="A85" s="21"/>
      <c r="B85" s="22"/>
      <c r="C85" s="23"/>
      <c r="D85" s="24"/>
      <c r="E85" s="41"/>
      <c r="F85" s="21"/>
      <c r="G85" s="21"/>
      <c r="H85" s="21"/>
      <c r="I85" s="21"/>
      <c r="J85" s="21"/>
      <c r="K85" s="21"/>
      <c r="L85" s="15"/>
      <c r="M85" s="15"/>
      <c r="N85" s="25"/>
      <c r="O85" s="21"/>
      <c r="P85" s="8"/>
      <c r="Q85" s="21"/>
      <c r="R85" s="52"/>
      <c r="S85" s="16"/>
      <c r="T85" s="16"/>
      <c r="U85" s="20"/>
      <c r="V85" s="21"/>
      <c r="W85" s="8"/>
      <c r="X85" s="25"/>
      <c r="Y85" s="8"/>
      <c r="Z85" s="16"/>
      <c r="AA85" s="16"/>
      <c r="AB85" s="16"/>
      <c r="AD85" s="16"/>
      <c r="AE85" s="21"/>
      <c r="AF85" s="8"/>
      <c r="AG85" s="70"/>
      <c r="AL85" s="63"/>
    </row>
    <row r="86" spans="1:38" s="14" customFormat="1" ht="12.75">
      <c r="A86" s="21"/>
      <c r="B86" s="22"/>
      <c r="C86" s="23"/>
      <c r="D86" s="24"/>
      <c r="E86" s="41"/>
      <c r="F86" s="21"/>
      <c r="G86" s="21"/>
      <c r="H86" s="21"/>
      <c r="I86" s="21"/>
      <c r="J86" s="21"/>
      <c r="K86" s="21"/>
      <c r="L86" s="15"/>
      <c r="M86" s="15"/>
      <c r="N86" s="25"/>
      <c r="O86" s="21"/>
      <c r="P86" s="8"/>
      <c r="Q86" s="21"/>
      <c r="R86" s="52"/>
      <c r="S86" s="16"/>
      <c r="T86" s="16"/>
      <c r="U86" s="20"/>
      <c r="V86" s="21"/>
      <c r="W86" s="8"/>
      <c r="X86" s="25"/>
      <c r="Y86" s="8"/>
      <c r="Z86" s="16"/>
      <c r="AA86" s="16"/>
      <c r="AB86" s="16"/>
      <c r="AD86" s="16"/>
      <c r="AE86" s="21"/>
      <c r="AF86" s="8"/>
      <c r="AG86" s="70"/>
      <c r="AL86" s="63"/>
    </row>
    <row r="87" spans="1:38" s="14" customFormat="1" ht="12.75">
      <c r="A87" s="21"/>
      <c r="B87" s="22"/>
      <c r="C87" s="23"/>
      <c r="D87" s="24"/>
      <c r="E87" s="41"/>
      <c r="F87" s="21"/>
      <c r="G87" s="21"/>
      <c r="H87" s="21"/>
      <c r="I87" s="21"/>
      <c r="J87" s="21"/>
      <c r="K87" s="21"/>
      <c r="L87" s="15"/>
      <c r="M87" s="15"/>
      <c r="N87" s="25"/>
      <c r="O87" s="21"/>
      <c r="P87" s="8"/>
      <c r="Q87" s="21"/>
      <c r="R87" s="52"/>
      <c r="S87" s="16"/>
      <c r="T87" s="16"/>
      <c r="U87" s="20"/>
      <c r="V87" s="21"/>
      <c r="W87" s="8"/>
      <c r="X87" s="25"/>
      <c r="Y87" s="8"/>
      <c r="Z87" s="16"/>
      <c r="AA87" s="16"/>
      <c r="AB87" s="16"/>
      <c r="AD87" s="16"/>
      <c r="AE87" s="21"/>
      <c r="AF87" s="8"/>
      <c r="AG87" s="70"/>
      <c r="AL87" s="63"/>
    </row>
    <row r="88" spans="1:38" s="14" customFormat="1" ht="12.75">
      <c r="A88" s="21"/>
      <c r="B88" s="22"/>
      <c r="C88" s="23"/>
      <c r="D88" s="24"/>
      <c r="E88" s="41"/>
      <c r="F88" s="21"/>
      <c r="G88" s="21"/>
      <c r="H88" s="21"/>
      <c r="I88" s="21"/>
      <c r="J88" s="21"/>
      <c r="K88" s="21"/>
      <c r="L88" s="15"/>
      <c r="M88" s="15"/>
      <c r="N88" s="25"/>
      <c r="O88" s="21"/>
      <c r="P88" s="8"/>
      <c r="Q88" s="21"/>
      <c r="R88" s="52"/>
      <c r="S88" s="16"/>
      <c r="T88" s="16"/>
      <c r="U88" s="20"/>
      <c r="V88" s="21"/>
      <c r="W88" s="8"/>
      <c r="X88" s="25"/>
      <c r="Y88" s="8"/>
      <c r="Z88" s="16"/>
      <c r="AA88" s="16"/>
      <c r="AB88" s="16"/>
      <c r="AD88" s="16"/>
      <c r="AE88" s="21"/>
      <c r="AF88" s="8"/>
      <c r="AG88" s="70"/>
      <c r="AL88" s="63"/>
    </row>
    <row r="89" spans="1:38" s="14" customFormat="1" ht="12.75">
      <c r="A89" s="21"/>
      <c r="B89" s="22"/>
      <c r="C89" s="23"/>
      <c r="D89" s="24"/>
      <c r="E89" s="41"/>
      <c r="F89" s="21"/>
      <c r="G89" s="21"/>
      <c r="H89" s="21"/>
      <c r="I89" s="21"/>
      <c r="J89" s="21"/>
      <c r="K89" s="21"/>
      <c r="L89" s="15"/>
      <c r="M89" s="15"/>
      <c r="N89" s="25"/>
      <c r="O89" s="21"/>
      <c r="P89" s="8"/>
      <c r="Q89" s="21"/>
      <c r="R89" s="52"/>
      <c r="S89" s="16"/>
      <c r="T89" s="16"/>
      <c r="U89" s="20"/>
      <c r="V89" s="21"/>
      <c r="W89" s="8"/>
      <c r="X89" s="25"/>
      <c r="Y89" s="8"/>
      <c r="Z89" s="16"/>
      <c r="AA89" s="16"/>
      <c r="AB89" s="16"/>
      <c r="AD89" s="16"/>
      <c r="AE89" s="21"/>
      <c r="AF89" s="8"/>
      <c r="AG89" s="70"/>
      <c r="AL89" s="63"/>
    </row>
    <row r="90" spans="1:38" s="14" customFormat="1" ht="12.75">
      <c r="A90" s="21"/>
      <c r="B90" s="22"/>
      <c r="C90" s="23"/>
      <c r="D90" s="24"/>
      <c r="E90" s="41"/>
      <c r="F90" s="21"/>
      <c r="G90" s="21"/>
      <c r="H90" s="21"/>
      <c r="I90" s="21"/>
      <c r="J90" s="21"/>
      <c r="K90" s="21"/>
      <c r="L90" s="15"/>
      <c r="M90" s="15"/>
      <c r="N90" s="25"/>
      <c r="O90" s="21"/>
      <c r="P90" s="8"/>
      <c r="Q90" s="21"/>
      <c r="R90" s="52"/>
      <c r="S90" s="16"/>
      <c r="T90" s="16"/>
      <c r="U90" s="20"/>
      <c r="V90" s="21"/>
      <c r="W90" s="8"/>
      <c r="X90" s="25"/>
      <c r="Y90" s="8"/>
      <c r="Z90" s="16"/>
      <c r="AA90" s="16"/>
      <c r="AB90" s="16"/>
      <c r="AD90" s="16"/>
      <c r="AE90" s="21"/>
      <c r="AF90" s="8"/>
      <c r="AG90" s="70"/>
      <c r="AL90" s="63"/>
    </row>
    <row r="91" spans="1:38" s="14" customFormat="1" ht="12.75">
      <c r="A91" s="21"/>
      <c r="B91" s="22"/>
      <c r="C91" s="23"/>
      <c r="D91" s="24"/>
      <c r="E91" s="41"/>
      <c r="F91" s="21"/>
      <c r="G91" s="21"/>
      <c r="H91" s="21"/>
      <c r="I91" s="21"/>
      <c r="J91" s="21"/>
      <c r="K91" s="21"/>
      <c r="L91" s="15"/>
      <c r="M91" s="15"/>
      <c r="N91" s="25"/>
      <c r="O91" s="21"/>
      <c r="P91" s="8"/>
      <c r="Q91" s="21"/>
      <c r="R91" s="52"/>
      <c r="S91" s="16"/>
      <c r="T91" s="16"/>
      <c r="U91" s="20"/>
      <c r="V91" s="21"/>
      <c r="W91" s="8"/>
      <c r="X91" s="25"/>
      <c r="Y91" s="8"/>
      <c r="Z91" s="16"/>
      <c r="AA91" s="16"/>
      <c r="AB91" s="16"/>
      <c r="AD91" s="16"/>
      <c r="AE91" s="21"/>
      <c r="AF91" s="8"/>
      <c r="AG91" s="70"/>
      <c r="AL91" s="63"/>
    </row>
    <row r="92" spans="1:38" s="14" customFormat="1" ht="12.75">
      <c r="A92" s="21"/>
      <c r="B92" s="22"/>
      <c r="C92" s="23"/>
      <c r="D92" s="24"/>
      <c r="E92" s="41"/>
      <c r="F92" s="21"/>
      <c r="G92" s="21"/>
      <c r="H92" s="21"/>
      <c r="I92" s="21"/>
      <c r="J92" s="21"/>
      <c r="K92" s="21"/>
      <c r="L92" s="15"/>
      <c r="M92" s="15"/>
      <c r="N92" s="25"/>
      <c r="O92" s="21"/>
      <c r="P92" s="8"/>
      <c r="Q92" s="21"/>
      <c r="R92" s="52"/>
      <c r="S92" s="16"/>
      <c r="T92" s="16"/>
      <c r="U92" s="20"/>
      <c r="V92" s="21"/>
      <c r="W92" s="8"/>
      <c r="X92" s="25"/>
      <c r="Y92" s="8"/>
      <c r="Z92" s="16"/>
      <c r="AA92" s="16"/>
      <c r="AB92" s="16"/>
      <c r="AD92" s="16"/>
      <c r="AE92" s="21"/>
      <c r="AF92" s="8"/>
      <c r="AG92" s="70"/>
      <c r="AL92" s="63"/>
    </row>
    <row r="93" spans="1:38" s="14" customFormat="1" ht="12.75">
      <c r="A93" s="21"/>
      <c r="B93" s="22"/>
      <c r="C93" s="23"/>
      <c r="D93" s="24"/>
      <c r="E93" s="41"/>
      <c r="F93" s="21"/>
      <c r="G93" s="21"/>
      <c r="H93" s="21"/>
      <c r="I93" s="21"/>
      <c r="J93" s="21"/>
      <c r="K93" s="21"/>
      <c r="L93" s="15"/>
      <c r="M93" s="15"/>
      <c r="N93" s="25"/>
      <c r="O93" s="21"/>
      <c r="P93" s="8"/>
      <c r="Q93" s="21"/>
      <c r="R93" s="52"/>
      <c r="S93" s="16"/>
      <c r="T93" s="16"/>
      <c r="U93" s="20"/>
      <c r="V93" s="21"/>
      <c r="W93" s="8"/>
      <c r="X93" s="25"/>
      <c r="Y93" s="8"/>
      <c r="Z93" s="16"/>
      <c r="AA93" s="16"/>
      <c r="AB93" s="16"/>
      <c r="AD93" s="16"/>
      <c r="AE93" s="21"/>
      <c r="AF93" s="8"/>
      <c r="AG93" s="70"/>
      <c r="AL93" s="63"/>
    </row>
    <row r="94" spans="1:38" s="14" customFormat="1" ht="12.75">
      <c r="A94" s="21"/>
      <c r="B94" s="22"/>
      <c r="C94" s="23"/>
      <c r="D94" s="24"/>
      <c r="E94" s="41"/>
      <c r="F94" s="21"/>
      <c r="G94" s="21"/>
      <c r="H94" s="21"/>
      <c r="I94" s="21"/>
      <c r="J94" s="21"/>
      <c r="K94" s="21"/>
      <c r="L94" s="15"/>
      <c r="M94" s="15"/>
      <c r="N94" s="25"/>
      <c r="O94" s="21"/>
      <c r="P94" s="8"/>
      <c r="Q94" s="21"/>
      <c r="R94" s="52"/>
      <c r="S94" s="16"/>
      <c r="T94" s="16"/>
      <c r="U94" s="20"/>
      <c r="V94" s="21"/>
      <c r="W94" s="8"/>
      <c r="X94" s="25"/>
      <c r="Y94" s="8"/>
      <c r="Z94" s="16"/>
      <c r="AA94" s="16"/>
      <c r="AB94" s="16"/>
      <c r="AD94" s="16"/>
      <c r="AE94" s="21"/>
      <c r="AF94" s="8"/>
      <c r="AG94" s="70"/>
      <c r="AL94" s="63"/>
    </row>
    <row r="95" spans="1:38" s="14" customFormat="1" ht="12.75">
      <c r="A95" s="21"/>
      <c r="B95" s="22"/>
      <c r="C95" s="23"/>
      <c r="D95" s="24"/>
      <c r="E95" s="41"/>
      <c r="F95" s="21"/>
      <c r="G95" s="21"/>
      <c r="H95" s="21"/>
      <c r="I95" s="21"/>
      <c r="J95" s="21"/>
      <c r="K95" s="21"/>
      <c r="L95" s="15"/>
      <c r="M95" s="15"/>
      <c r="N95" s="25"/>
      <c r="O95" s="21"/>
      <c r="P95" s="8"/>
      <c r="Q95" s="21"/>
      <c r="R95" s="52"/>
      <c r="S95" s="16"/>
      <c r="T95" s="16"/>
      <c r="U95" s="20"/>
      <c r="V95" s="21"/>
      <c r="W95" s="8"/>
      <c r="X95" s="25"/>
      <c r="Y95" s="8"/>
      <c r="Z95" s="16"/>
      <c r="AA95" s="16"/>
      <c r="AB95" s="16"/>
      <c r="AD95" s="16"/>
      <c r="AE95" s="21"/>
      <c r="AF95" s="8"/>
      <c r="AG95" s="70"/>
      <c r="AL95" s="63"/>
    </row>
    <row r="96" spans="1:38" s="14" customFormat="1" ht="12.75">
      <c r="A96" s="21"/>
      <c r="B96" s="22"/>
      <c r="C96" s="23"/>
      <c r="D96" s="24"/>
      <c r="E96" s="41"/>
      <c r="F96" s="21"/>
      <c r="G96" s="21"/>
      <c r="H96" s="21"/>
      <c r="I96" s="21"/>
      <c r="J96" s="21"/>
      <c r="K96" s="21"/>
      <c r="L96" s="15"/>
      <c r="M96" s="15"/>
      <c r="N96" s="25"/>
      <c r="O96" s="21"/>
      <c r="P96" s="8"/>
      <c r="Q96" s="21"/>
      <c r="R96" s="52"/>
      <c r="S96" s="16"/>
      <c r="T96" s="16"/>
      <c r="U96" s="20"/>
      <c r="V96" s="21"/>
      <c r="W96" s="8"/>
      <c r="X96" s="25"/>
      <c r="Y96" s="8"/>
      <c r="Z96" s="16"/>
      <c r="AA96" s="16"/>
      <c r="AB96" s="16"/>
      <c r="AD96" s="16"/>
      <c r="AE96" s="21"/>
      <c r="AF96" s="8"/>
      <c r="AG96" s="70"/>
      <c r="AL96" s="63"/>
    </row>
    <row r="97" spans="1:38" s="14" customFormat="1" ht="12.75">
      <c r="A97" s="21"/>
      <c r="B97" s="22"/>
      <c r="C97" s="23"/>
      <c r="D97" s="24"/>
      <c r="E97" s="41"/>
      <c r="F97" s="21"/>
      <c r="G97" s="21"/>
      <c r="H97" s="21"/>
      <c r="I97" s="21"/>
      <c r="J97" s="21"/>
      <c r="K97" s="21"/>
      <c r="L97" s="15"/>
      <c r="M97" s="15"/>
      <c r="N97" s="25"/>
      <c r="O97" s="21"/>
      <c r="P97" s="8"/>
      <c r="Q97" s="21"/>
      <c r="R97" s="52"/>
      <c r="S97" s="16"/>
      <c r="T97" s="16"/>
      <c r="U97" s="20"/>
      <c r="V97" s="21"/>
      <c r="W97" s="8"/>
      <c r="X97" s="25"/>
      <c r="Y97" s="8"/>
      <c r="Z97" s="16"/>
      <c r="AA97" s="16"/>
      <c r="AB97" s="16"/>
      <c r="AD97" s="16"/>
      <c r="AE97" s="21"/>
      <c r="AF97" s="8"/>
      <c r="AG97" s="70"/>
      <c r="AL97" s="63"/>
    </row>
    <row r="98" spans="1:38" s="14" customFormat="1" ht="12.75">
      <c r="A98" s="21"/>
      <c r="B98" s="22"/>
      <c r="C98" s="23"/>
      <c r="D98" s="24"/>
      <c r="E98" s="41"/>
      <c r="F98" s="21"/>
      <c r="G98" s="21"/>
      <c r="H98" s="21"/>
      <c r="I98" s="21"/>
      <c r="J98" s="21"/>
      <c r="K98" s="21"/>
      <c r="L98" s="15"/>
      <c r="M98" s="15"/>
      <c r="N98" s="25"/>
      <c r="O98" s="21"/>
      <c r="P98" s="8"/>
      <c r="Q98" s="21"/>
      <c r="R98" s="52"/>
      <c r="S98" s="16"/>
      <c r="T98" s="16"/>
      <c r="U98" s="20"/>
      <c r="V98" s="21"/>
      <c r="W98" s="8"/>
      <c r="X98" s="25"/>
      <c r="Y98" s="8"/>
      <c r="Z98" s="16"/>
      <c r="AA98" s="16"/>
      <c r="AB98" s="16"/>
      <c r="AD98" s="16"/>
      <c r="AE98" s="21"/>
      <c r="AF98" s="8"/>
      <c r="AG98" s="70"/>
      <c r="AL98" s="63"/>
    </row>
    <row r="99" spans="1:38" s="14" customFormat="1" ht="12.75">
      <c r="A99" s="21"/>
      <c r="B99" s="22"/>
      <c r="C99" s="23"/>
      <c r="D99" s="24"/>
      <c r="E99" s="41"/>
      <c r="F99" s="21"/>
      <c r="G99" s="21"/>
      <c r="H99" s="21"/>
      <c r="I99" s="21"/>
      <c r="J99" s="21"/>
      <c r="K99" s="21"/>
      <c r="L99" s="15"/>
      <c r="M99" s="15"/>
      <c r="N99" s="25"/>
      <c r="O99" s="21"/>
      <c r="P99" s="8"/>
      <c r="Q99" s="21"/>
      <c r="R99" s="52"/>
      <c r="S99" s="16"/>
      <c r="T99" s="16"/>
      <c r="U99" s="20"/>
      <c r="V99" s="21"/>
      <c r="W99" s="8"/>
      <c r="X99" s="25"/>
      <c r="Y99" s="8"/>
      <c r="Z99" s="16"/>
      <c r="AA99" s="16"/>
      <c r="AB99" s="16"/>
      <c r="AD99" s="16"/>
      <c r="AE99" s="21"/>
      <c r="AF99" s="8"/>
      <c r="AG99" s="70"/>
      <c r="AL99" s="63"/>
    </row>
    <row r="100" spans="1:38" s="14" customFormat="1" ht="12.75">
      <c r="A100" s="21"/>
      <c r="B100" s="22"/>
      <c r="C100" s="23"/>
      <c r="D100" s="24"/>
      <c r="E100" s="41"/>
      <c r="F100" s="21"/>
      <c r="G100" s="21"/>
      <c r="H100" s="21"/>
      <c r="I100" s="21"/>
      <c r="J100" s="21"/>
      <c r="K100" s="21"/>
      <c r="L100" s="15"/>
      <c r="M100" s="15"/>
      <c r="N100" s="25"/>
      <c r="O100" s="21"/>
      <c r="P100" s="8"/>
      <c r="Q100" s="21"/>
      <c r="R100" s="52"/>
      <c r="S100" s="16"/>
      <c r="T100" s="16"/>
      <c r="U100" s="20"/>
      <c r="V100" s="21"/>
      <c r="W100" s="8"/>
      <c r="X100" s="25"/>
      <c r="Y100" s="8"/>
      <c r="Z100" s="16"/>
      <c r="AA100" s="16"/>
      <c r="AB100" s="16"/>
      <c r="AD100" s="16"/>
      <c r="AE100" s="21"/>
      <c r="AF100" s="8"/>
      <c r="AG100" s="70"/>
      <c r="AL100" s="63"/>
    </row>
    <row r="101" spans="1:38" s="14" customFormat="1" ht="12.75">
      <c r="A101" s="21"/>
      <c r="B101" s="22"/>
      <c r="C101" s="23"/>
      <c r="D101" s="24"/>
      <c r="E101" s="41"/>
      <c r="F101" s="21"/>
      <c r="G101" s="21"/>
      <c r="H101" s="21"/>
      <c r="I101" s="21"/>
      <c r="J101" s="21"/>
      <c r="K101" s="21"/>
      <c r="L101" s="21"/>
      <c r="M101" s="21"/>
      <c r="N101" s="25"/>
      <c r="O101" s="21"/>
      <c r="P101" s="8"/>
      <c r="Q101" s="21"/>
      <c r="R101" s="52"/>
      <c r="S101" s="16"/>
      <c r="T101" s="16"/>
      <c r="U101" s="20"/>
      <c r="V101" s="21"/>
      <c r="W101" s="8"/>
      <c r="X101" s="25"/>
      <c r="Y101" s="8"/>
      <c r="Z101" s="16"/>
      <c r="AA101" s="16"/>
      <c r="AB101" s="16"/>
      <c r="AD101" s="16"/>
      <c r="AE101" s="21"/>
      <c r="AF101" s="8"/>
      <c r="AG101" s="70"/>
      <c r="AL101" s="63"/>
    </row>
    <row r="102" spans="1:38" s="14" customFormat="1" ht="12.75">
      <c r="A102" s="21"/>
      <c r="B102" s="22"/>
      <c r="C102" s="23"/>
      <c r="D102" s="24"/>
      <c r="E102" s="41"/>
      <c r="F102" s="21"/>
      <c r="G102" s="21"/>
      <c r="H102" s="21"/>
      <c r="I102" s="21"/>
      <c r="J102" s="21"/>
      <c r="K102" s="21"/>
      <c r="L102" s="15"/>
      <c r="M102" s="15"/>
      <c r="N102" s="25"/>
      <c r="O102" s="21"/>
      <c r="P102" s="8"/>
      <c r="Q102" s="21"/>
      <c r="R102" s="52"/>
      <c r="S102" s="16"/>
      <c r="T102" s="16"/>
      <c r="U102" s="20"/>
      <c r="V102" s="21"/>
      <c r="W102" s="8"/>
      <c r="X102" s="25"/>
      <c r="Y102" s="8"/>
      <c r="Z102" s="16"/>
      <c r="AA102" s="16"/>
      <c r="AB102" s="16"/>
      <c r="AD102" s="16"/>
      <c r="AE102" s="21"/>
      <c r="AF102" s="8"/>
      <c r="AG102" s="70"/>
      <c r="AL102" s="63"/>
    </row>
    <row r="103" spans="1:38" s="14" customFormat="1" ht="12.75">
      <c r="A103" s="21"/>
      <c r="B103" s="22"/>
      <c r="C103" s="23"/>
      <c r="D103" s="24"/>
      <c r="E103" s="41"/>
      <c r="F103" s="21"/>
      <c r="G103" s="21"/>
      <c r="H103" s="21"/>
      <c r="I103" s="21"/>
      <c r="J103" s="21"/>
      <c r="K103" s="21"/>
      <c r="L103" s="15"/>
      <c r="M103" s="15"/>
      <c r="N103" s="25"/>
      <c r="O103" s="21"/>
      <c r="P103" s="8"/>
      <c r="Q103" s="21"/>
      <c r="R103" s="52"/>
      <c r="S103" s="16"/>
      <c r="T103" s="16"/>
      <c r="U103" s="20"/>
      <c r="V103" s="21"/>
      <c r="W103" s="8"/>
      <c r="X103" s="25"/>
      <c r="Y103" s="8"/>
      <c r="Z103" s="16"/>
      <c r="AA103" s="16"/>
      <c r="AB103" s="16"/>
      <c r="AD103" s="16"/>
      <c r="AE103" s="21"/>
      <c r="AF103" s="8"/>
      <c r="AG103" s="70"/>
      <c r="AL103" s="63"/>
    </row>
    <row r="104" spans="1:38" s="14" customFormat="1" ht="12.75">
      <c r="A104" s="21"/>
      <c r="B104" s="22"/>
      <c r="C104" s="23"/>
      <c r="D104" s="24"/>
      <c r="E104" s="41"/>
      <c r="F104" s="21"/>
      <c r="G104" s="21"/>
      <c r="H104" s="21"/>
      <c r="I104" s="21"/>
      <c r="J104" s="21"/>
      <c r="K104" s="21"/>
      <c r="L104" s="15"/>
      <c r="M104" s="15"/>
      <c r="N104" s="25"/>
      <c r="O104" s="21"/>
      <c r="P104" s="8"/>
      <c r="Q104" s="21"/>
      <c r="R104" s="52"/>
      <c r="S104" s="16"/>
      <c r="T104" s="16"/>
      <c r="U104" s="20"/>
      <c r="V104" s="21"/>
      <c r="W104" s="8"/>
      <c r="X104" s="25"/>
      <c r="Y104" s="8"/>
      <c r="Z104" s="16"/>
      <c r="AA104" s="16"/>
      <c r="AB104" s="16"/>
      <c r="AD104" s="16"/>
      <c r="AE104" s="21"/>
      <c r="AF104" s="8"/>
      <c r="AG104" s="70"/>
      <c r="AL104" s="63"/>
    </row>
    <row r="105" spans="1:38" s="14" customFormat="1" ht="12.75">
      <c r="A105" s="21"/>
      <c r="B105" s="22"/>
      <c r="C105" s="23"/>
      <c r="D105" s="24"/>
      <c r="E105" s="41"/>
      <c r="F105" s="21"/>
      <c r="G105" s="21"/>
      <c r="H105" s="21"/>
      <c r="I105" s="21"/>
      <c r="J105" s="21"/>
      <c r="K105" s="21"/>
      <c r="L105" s="15"/>
      <c r="M105" s="15"/>
      <c r="N105" s="25"/>
      <c r="O105" s="21"/>
      <c r="P105" s="8"/>
      <c r="Q105" s="21"/>
      <c r="R105" s="52"/>
      <c r="S105" s="16"/>
      <c r="T105" s="16"/>
      <c r="U105" s="20"/>
      <c r="V105" s="21"/>
      <c r="W105" s="8"/>
      <c r="X105" s="25"/>
      <c r="Y105" s="8"/>
      <c r="Z105" s="16"/>
      <c r="AA105" s="16"/>
      <c r="AB105" s="16"/>
      <c r="AD105" s="16"/>
      <c r="AE105" s="21"/>
      <c r="AF105" s="8"/>
      <c r="AG105" s="70"/>
      <c r="AL105" s="63"/>
    </row>
    <row r="106" spans="1:38" s="14" customFormat="1" ht="12.75">
      <c r="A106" s="21"/>
      <c r="B106" s="22"/>
      <c r="C106" s="23"/>
      <c r="D106" s="24"/>
      <c r="E106" s="41"/>
      <c r="F106" s="21"/>
      <c r="G106" s="21"/>
      <c r="H106" s="21"/>
      <c r="I106" s="21"/>
      <c r="J106" s="21"/>
      <c r="K106" s="21"/>
      <c r="L106" s="15"/>
      <c r="M106" s="15"/>
      <c r="N106" s="25"/>
      <c r="O106" s="21"/>
      <c r="P106" s="8"/>
      <c r="Q106" s="21"/>
      <c r="R106" s="52"/>
      <c r="S106" s="16"/>
      <c r="T106" s="16"/>
      <c r="U106" s="20"/>
      <c r="V106" s="21"/>
      <c r="W106" s="8"/>
      <c r="X106" s="25"/>
      <c r="Y106" s="8"/>
      <c r="Z106" s="16"/>
      <c r="AA106" s="16"/>
      <c r="AB106" s="16"/>
      <c r="AD106" s="16"/>
      <c r="AE106" s="21"/>
      <c r="AF106" s="8"/>
      <c r="AG106" s="70"/>
      <c r="AL106" s="63"/>
    </row>
    <row r="107" spans="1:38" s="14" customFormat="1" ht="12.75">
      <c r="A107" s="21"/>
      <c r="B107" s="22"/>
      <c r="C107" s="23"/>
      <c r="D107" s="24"/>
      <c r="E107" s="41"/>
      <c r="F107" s="21"/>
      <c r="G107" s="21"/>
      <c r="H107" s="21"/>
      <c r="I107" s="21"/>
      <c r="J107" s="21"/>
      <c r="K107" s="21"/>
      <c r="L107" s="15"/>
      <c r="M107" s="15"/>
      <c r="N107" s="25"/>
      <c r="O107" s="21"/>
      <c r="P107" s="8"/>
      <c r="Q107" s="21"/>
      <c r="R107" s="52"/>
      <c r="S107" s="16"/>
      <c r="T107" s="16"/>
      <c r="U107" s="20"/>
      <c r="V107" s="21"/>
      <c r="W107" s="8"/>
      <c r="X107" s="25"/>
      <c r="Y107" s="8"/>
      <c r="Z107" s="16"/>
      <c r="AA107" s="16"/>
      <c r="AB107" s="16"/>
      <c r="AD107" s="16"/>
      <c r="AE107" s="21"/>
      <c r="AF107" s="8"/>
      <c r="AG107" s="70"/>
      <c r="AL107" s="63"/>
    </row>
    <row r="108" spans="1:38" s="14" customFormat="1" ht="12.75">
      <c r="A108" s="21"/>
      <c r="B108" s="22"/>
      <c r="C108" s="23"/>
      <c r="D108" s="24"/>
      <c r="E108" s="41"/>
      <c r="F108" s="21"/>
      <c r="G108" s="21"/>
      <c r="H108" s="21"/>
      <c r="I108" s="21"/>
      <c r="J108" s="21"/>
      <c r="K108" s="21"/>
      <c r="L108" s="15"/>
      <c r="M108" s="15"/>
      <c r="N108" s="25"/>
      <c r="O108" s="21"/>
      <c r="P108" s="8"/>
      <c r="Q108" s="21"/>
      <c r="R108" s="52"/>
      <c r="S108" s="16"/>
      <c r="T108" s="16"/>
      <c r="U108" s="20"/>
      <c r="V108" s="21"/>
      <c r="W108" s="8"/>
      <c r="X108" s="25"/>
      <c r="Y108" s="8"/>
      <c r="Z108" s="16"/>
      <c r="AA108" s="16"/>
      <c r="AB108" s="16"/>
      <c r="AD108" s="16"/>
      <c r="AE108" s="21"/>
      <c r="AF108" s="8"/>
      <c r="AG108" s="70"/>
      <c r="AL108" s="63"/>
    </row>
    <row r="109" spans="1:38" s="14" customFormat="1" ht="12.75">
      <c r="A109" s="21"/>
      <c r="B109" s="22"/>
      <c r="C109" s="23"/>
      <c r="D109" s="24"/>
      <c r="E109" s="41"/>
      <c r="F109" s="21"/>
      <c r="G109" s="21"/>
      <c r="H109" s="21"/>
      <c r="I109" s="21"/>
      <c r="J109" s="21"/>
      <c r="K109" s="21"/>
      <c r="L109" s="15"/>
      <c r="M109" s="15"/>
      <c r="N109" s="25"/>
      <c r="O109" s="21"/>
      <c r="P109" s="8"/>
      <c r="Q109" s="21"/>
      <c r="R109" s="52"/>
      <c r="S109" s="16"/>
      <c r="T109" s="16"/>
      <c r="U109" s="20"/>
      <c r="V109" s="21"/>
      <c r="W109" s="8"/>
      <c r="X109" s="25"/>
      <c r="Y109" s="8"/>
      <c r="Z109" s="16"/>
      <c r="AA109" s="16"/>
      <c r="AB109" s="16"/>
      <c r="AD109" s="16"/>
      <c r="AE109" s="21"/>
      <c r="AF109" s="8"/>
      <c r="AG109" s="70"/>
      <c r="AL109" s="63"/>
    </row>
    <row r="110" spans="1:38" s="14" customFormat="1" ht="12.75">
      <c r="A110" s="21"/>
      <c r="B110" s="22"/>
      <c r="C110" s="23"/>
      <c r="D110" s="24"/>
      <c r="E110" s="41"/>
      <c r="F110" s="21"/>
      <c r="G110" s="21"/>
      <c r="H110" s="21"/>
      <c r="I110" s="21"/>
      <c r="J110" s="21"/>
      <c r="K110" s="21"/>
      <c r="L110" s="15"/>
      <c r="M110" s="15"/>
      <c r="N110" s="25"/>
      <c r="O110" s="21"/>
      <c r="P110" s="8"/>
      <c r="Q110" s="21"/>
      <c r="R110" s="52"/>
      <c r="S110" s="16"/>
      <c r="T110" s="16"/>
      <c r="U110" s="20"/>
      <c r="V110" s="21"/>
      <c r="W110" s="8"/>
      <c r="X110" s="25"/>
      <c r="Y110" s="8"/>
      <c r="Z110" s="16"/>
      <c r="AA110" s="16"/>
      <c r="AB110" s="16"/>
      <c r="AD110" s="16"/>
      <c r="AE110" s="21"/>
      <c r="AF110" s="8"/>
      <c r="AG110" s="70"/>
      <c r="AL110" s="63"/>
    </row>
    <row r="111" spans="1:38" s="14" customFormat="1" ht="12.75">
      <c r="A111" s="21"/>
      <c r="B111" s="22"/>
      <c r="C111" s="23"/>
      <c r="D111" s="24"/>
      <c r="E111" s="41"/>
      <c r="F111" s="21"/>
      <c r="G111" s="21"/>
      <c r="H111" s="21"/>
      <c r="I111" s="21"/>
      <c r="J111" s="21"/>
      <c r="K111" s="21"/>
      <c r="L111" s="15"/>
      <c r="M111" s="15"/>
      <c r="N111" s="25"/>
      <c r="O111" s="21"/>
      <c r="P111" s="8"/>
      <c r="Q111" s="21"/>
      <c r="R111" s="52"/>
      <c r="S111" s="16"/>
      <c r="T111" s="16"/>
      <c r="U111" s="20"/>
      <c r="V111" s="21"/>
      <c r="W111" s="8"/>
      <c r="X111" s="25"/>
      <c r="Y111" s="8"/>
      <c r="Z111" s="16"/>
      <c r="AA111" s="16"/>
      <c r="AB111" s="16"/>
      <c r="AD111" s="16"/>
      <c r="AE111" s="21"/>
      <c r="AF111" s="8"/>
      <c r="AG111" s="70"/>
      <c r="AL111" s="63"/>
    </row>
    <row r="112" spans="1:38" s="14" customFormat="1" ht="12.75">
      <c r="A112" s="21"/>
      <c r="B112" s="22"/>
      <c r="C112" s="23"/>
      <c r="D112" s="24"/>
      <c r="E112" s="41"/>
      <c r="F112" s="21"/>
      <c r="G112" s="21"/>
      <c r="H112" s="21"/>
      <c r="I112" s="21"/>
      <c r="J112" s="21"/>
      <c r="K112" s="21"/>
      <c r="L112" s="15"/>
      <c r="M112" s="15"/>
      <c r="N112" s="25"/>
      <c r="O112" s="21"/>
      <c r="P112" s="8"/>
      <c r="Q112" s="21"/>
      <c r="R112" s="52"/>
      <c r="S112" s="16"/>
      <c r="T112" s="16"/>
      <c r="U112" s="20"/>
      <c r="V112" s="21"/>
      <c r="W112" s="8"/>
      <c r="X112" s="25"/>
      <c r="Y112" s="8"/>
      <c r="Z112" s="16"/>
      <c r="AA112" s="16"/>
      <c r="AB112" s="16"/>
      <c r="AD112" s="16"/>
      <c r="AE112" s="21"/>
      <c r="AF112" s="8"/>
      <c r="AG112" s="70"/>
      <c r="AL112" s="63"/>
    </row>
    <row r="113" spans="1:38" s="14" customFormat="1" ht="12.75">
      <c r="A113" s="21"/>
      <c r="B113" s="22"/>
      <c r="C113" s="23"/>
      <c r="D113" s="24"/>
      <c r="E113" s="41"/>
      <c r="F113" s="21"/>
      <c r="G113" s="21"/>
      <c r="H113" s="21"/>
      <c r="I113" s="21"/>
      <c r="J113" s="21"/>
      <c r="K113" s="21"/>
      <c r="L113" s="15"/>
      <c r="M113" s="15"/>
      <c r="N113" s="25"/>
      <c r="O113" s="21"/>
      <c r="P113" s="8"/>
      <c r="Q113" s="21"/>
      <c r="R113" s="52"/>
      <c r="S113" s="16"/>
      <c r="T113" s="16"/>
      <c r="U113" s="20"/>
      <c r="V113" s="21"/>
      <c r="W113" s="8"/>
      <c r="X113" s="25"/>
      <c r="Y113" s="8"/>
      <c r="Z113" s="16"/>
      <c r="AA113" s="16"/>
      <c r="AB113" s="16"/>
      <c r="AD113" s="16"/>
      <c r="AE113" s="21"/>
      <c r="AF113" s="8"/>
      <c r="AG113" s="70"/>
      <c r="AL113" s="63"/>
    </row>
    <row r="114" spans="1:38" s="14" customFormat="1" ht="12.75">
      <c r="A114" s="21"/>
      <c r="B114" s="22"/>
      <c r="C114" s="23"/>
      <c r="D114" s="24"/>
      <c r="E114" s="41"/>
      <c r="F114" s="21"/>
      <c r="G114" s="21"/>
      <c r="H114" s="21"/>
      <c r="I114" s="21"/>
      <c r="J114" s="21"/>
      <c r="K114" s="21"/>
      <c r="L114" s="15"/>
      <c r="M114" s="15"/>
      <c r="N114" s="25"/>
      <c r="O114" s="21"/>
      <c r="P114" s="8"/>
      <c r="Q114" s="21"/>
      <c r="R114" s="52"/>
      <c r="S114" s="16"/>
      <c r="T114" s="16"/>
      <c r="U114" s="20"/>
      <c r="V114" s="21"/>
      <c r="W114" s="8"/>
      <c r="X114" s="25"/>
      <c r="Y114" s="8"/>
      <c r="Z114" s="16"/>
      <c r="AA114" s="16"/>
      <c r="AB114" s="16"/>
      <c r="AD114" s="16"/>
      <c r="AE114" s="21"/>
      <c r="AF114" s="8"/>
      <c r="AG114" s="70"/>
      <c r="AL114" s="63"/>
    </row>
    <row r="115" spans="1:38" s="14" customFormat="1" ht="12.75">
      <c r="A115" s="21"/>
      <c r="B115" s="22"/>
      <c r="C115" s="23"/>
      <c r="D115" s="24"/>
      <c r="E115" s="41"/>
      <c r="F115" s="21"/>
      <c r="G115" s="21"/>
      <c r="H115" s="21"/>
      <c r="I115" s="21"/>
      <c r="J115" s="21"/>
      <c r="K115" s="21"/>
      <c r="L115" s="15"/>
      <c r="M115" s="15"/>
      <c r="N115" s="25"/>
      <c r="O115" s="21"/>
      <c r="P115" s="8"/>
      <c r="Q115" s="21"/>
      <c r="R115" s="52"/>
      <c r="S115" s="16"/>
      <c r="T115" s="16"/>
      <c r="U115" s="20"/>
      <c r="V115" s="21"/>
      <c r="W115" s="8"/>
      <c r="X115" s="25"/>
      <c r="Y115" s="8"/>
      <c r="Z115" s="16"/>
      <c r="AA115" s="16"/>
      <c r="AB115" s="16"/>
      <c r="AD115" s="16"/>
      <c r="AE115" s="21"/>
      <c r="AF115" s="8"/>
      <c r="AG115" s="70"/>
      <c r="AL115" s="63"/>
    </row>
    <row r="116" spans="1:38" s="14" customFormat="1" ht="12.75">
      <c r="A116" s="21"/>
      <c r="B116" s="22"/>
      <c r="C116" s="23"/>
      <c r="D116" s="24"/>
      <c r="E116" s="41"/>
      <c r="F116" s="21"/>
      <c r="G116" s="21"/>
      <c r="H116" s="21"/>
      <c r="I116" s="21"/>
      <c r="J116" s="21"/>
      <c r="K116" s="21"/>
      <c r="L116" s="15"/>
      <c r="M116" s="15"/>
      <c r="N116" s="25"/>
      <c r="O116" s="21"/>
      <c r="P116" s="8"/>
      <c r="Q116" s="21"/>
      <c r="R116" s="52"/>
      <c r="S116" s="16"/>
      <c r="T116" s="16"/>
      <c r="U116" s="20"/>
      <c r="V116" s="21"/>
      <c r="W116" s="8"/>
      <c r="X116" s="25"/>
      <c r="Y116" s="8"/>
      <c r="Z116" s="16"/>
      <c r="AA116" s="16"/>
      <c r="AB116" s="16"/>
      <c r="AD116" s="16"/>
      <c r="AE116" s="21"/>
      <c r="AF116" s="8"/>
      <c r="AG116" s="70"/>
      <c r="AL116" s="63"/>
    </row>
    <row r="117" spans="1:38" s="14" customFormat="1" ht="12.75">
      <c r="A117" s="21"/>
      <c r="B117" s="22"/>
      <c r="C117" s="23"/>
      <c r="D117" s="24"/>
      <c r="E117" s="41"/>
      <c r="F117" s="21"/>
      <c r="G117" s="21"/>
      <c r="H117" s="21"/>
      <c r="I117" s="21"/>
      <c r="J117" s="21"/>
      <c r="K117" s="21"/>
      <c r="L117" s="15"/>
      <c r="M117" s="15"/>
      <c r="N117" s="25"/>
      <c r="O117" s="21"/>
      <c r="P117" s="8"/>
      <c r="Q117" s="21"/>
      <c r="R117" s="52"/>
      <c r="S117" s="16"/>
      <c r="T117" s="16"/>
      <c r="U117" s="20"/>
      <c r="V117" s="21"/>
      <c r="W117" s="8"/>
      <c r="X117" s="25"/>
      <c r="Y117" s="8"/>
      <c r="Z117" s="16"/>
      <c r="AA117" s="16"/>
      <c r="AB117" s="16"/>
      <c r="AD117" s="16"/>
      <c r="AE117" s="21"/>
      <c r="AF117" s="8"/>
      <c r="AG117" s="70"/>
      <c r="AL117" s="63"/>
    </row>
    <row r="118" spans="1:38" s="14" customFormat="1" ht="12.75">
      <c r="A118" s="21"/>
      <c r="B118" s="22"/>
      <c r="C118" s="23"/>
      <c r="D118" s="24"/>
      <c r="E118" s="41"/>
      <c r="F118" s="21"/>
      <c r="G118" s="21"/>
      <c r="H118" s="21"/>
      <c r="I118" s="21"/>
      <c r="J118" s="21"/>
      <c r="K118" s="21"/>
      <c r="L118" s="15"/>
      <c r="M118" s="15"/>
      <c r="N118" s="25"/>
      <c r="O118" s="21"/>
      <c r="P118" s="8"/>
      <c r="Q118" s="21"/>
      <c r="R118" s="52"/>
      <c r="S118" s="16"/>
      <c r="T118" s="16"/>
      <c r="U118" s="20"/>
      <c r="V118" s="21"/>
      <c r="W118" s="8"/>
      <c r="X118" s="25"/>
      <c r="Y118" s="8"/>
      <c r="Z118" s="16"/>
      <c r="AA118" s="16"/>
      <c r="AB118" s="16"/>
      <c r="AD118" s="16"/>
      <c r="AE118" s="21"/>
      <c r="AF118" s="8"/>
      <c r="AG118" s="70"/>
      <c r="AL118" s="63"/>
    </row>
    <row r="119" spans="1:38" s="14" customFormat="1" ht="12.75">
      <c r="A119" s="21"/>
      <c r="B119" s="22"/>
      <c r="C119" s="23"/>
      <c r="D119" s="24"/>
      <c r="E119" s="41"/>
      <c r="F119" s="21"/>
      <c r="G119" s="21"/>
      <c r="H119" s="21"/>
      <c r="I119" s="21"/>
      <c r="J119" s="21"/>
      <c r="K119" s="21"/>
      <c r="L119" s="15"/>
      <c r="M119" s="15"/>
      <c r="N119" s="25"/>
      <c r="O119" s="21"/>
      <c r="P119" s="8"/>
      <c r="Q119" s="21"/>
      <c r="R119" s="52"/>
      <c r="S119" s="16"/>
      <c r="T119" s="16"/>
      <c r="U119" s="20"/>
      <c r="V119" s="21"/>
      <c r="W119" s="8"/>
      <c r="X119" s="25"/>
      <c r="Y119" s="8"/>
      <c r="Z119" s="16"/>
      <c r="AA119" s="16"/>
      <c r="AB119" s="16"/>
      <c r="AD119" s="16"/>
      <c r="AE119" s="21"/>
      <c r="AF119" s="8"/>
      <c r="AG119" s="70"/>
      <c r="AL119" s="63"/>
    </row>
    <row r="120" spans="1:38" s="14" customFormat="1" ht="12.75">
      <c r="A120" s="21"/>
      <c r="B120" s="22"/>
      <c r="C120" s="23"/>
      <c r="D120" s="24"/>
      <c r="E120" s="41"/>
      <c r="F120" s="21"/>
      <c r="G120" s="21"/>
      <c r="H120" s="21"/>
      <c r="I120" s="21"/>
      <c r="J120" s="21"/>
      <c r="K120" s="21"/>
      <c r="L120" s="15"/>
      <c r="M120" s="15"/>
      <c r="N120" s="25"/>
      <c r="O120" s="21"/>
      <c r="P120" s="8"/>
      <c r="Q120" s="21"/>
      <c r="R120" s="52"/>
      <c r="S120" s="16"/>
      <c r="T120" s="16"/>
      <c r="U120" s="20"/>
      <c r="V120" s="21"/>
      <c r="W120" s="8"/>
      <c r="X120" s="25"/>
      <c r="Y120" s="8"/>
      <c r="Z120" s="16"/>
      <c r="AA120" s="16"/>
      <c r="AB120" s="16"/>
      <c r="AD120" s="16"/>
      <c r="AE120" s="21"/>
      <c r="AF120" s="8"/>
      <c r="AG120" s="70"/>
      <c r="AL120" s="63"/>
    </row>
    <row r="121" spans="1:38" s="14" customFormat="1" ht="12.75">
      <c r="A121" s="21"/>
      <c r="B121" s="22"/>
      <c r="C121" s="23"/>
      <c r="D121" s="24"/>
      <c r="E121" s="41"/>
      <c r="F121" s="21"/>
      <c r="G121" s="21"/>
      <c r="H121" s="21"/>
      <c r="I121" s="21"/>
      <c r="J121" s="21"/>
      <c r="K121" s="21"/>
      <c r="L121" s="15"/>
      <c r="M121" s="15"/>
      <c r="N121" s="25"/>
      <c r="O121" s="21"/>
      <c r="P121" s="8"/>
      <c r="Q121" s="21"/>
      <c r="R121" s="52"/>
      <c r="S121" s="16"/>
      <c r="T121" s="16"/>
      <c r="U121" s="20"/>
      <c r="V121" s="21"/>
      <c r="W121" s="8"/>
      <c r="X121" s="25"/>
      <c r="Y121" s="8"/>
      <c r="Z121" s="16"/>
      <c r="AA121" s="16"/>
      <c r="AB121" s="16"/>
      <c r="AD121" s="16"/>
      <c r="AE121" s="21"/>
      <c r="AF121" s="8"/>
      <c r="AG121" s="70"/>
      <c r="AL121" s="63"/>
    </row>
    <row r="122" spans="1:38" s="14" customFormat="1" ht="12.75">
      <c r="A122" s="21"/>
      <c r="B122" s="22"/>
      <c r="C122" s="23"/>
      <c r="D122" s="24"/>
      <c r="E122" s="41"/>
      <c r="F122" s="21"/>
      <c r="G122" s="21"/>
      <c r="H122" s="21"/>
      <c r="I122" s="21"/>
      <c r="J122" s="21"/>
      <c r="K122" s="21"/>
      <c r="L122" s="15"/>
      <c r="M122" s="15"/>
      <c r="N122" s="25"/>
      <c r="O122" s="21"/>
      <c r="P122" s="8"/>
      <c r="Q122" s="21"/>
      <c r="R122" s="52"/>
      <c r="S122" s="16"/>
      <c r="T122" s="16"/>
      <c r="U122" s="20"/>
      <c r="V122" s="21"/>
      <c r="W122" s="8"/>
      <c r="X122" s="25"/>
      <c r="Y122" s="8"/>
      <c r="Z122" s="16"/>
      <c r="AA122" s="16"/>
      <c r="AB122" s="16"/>
      <c r="AD122" s="16"/>
      <c r="AE122" s="21"/>
      <c r="AF122" s="8"/>
      <c r="AG122" s="70"/>
      <c r="AL122" s="63"/>
    </row>
    <row r="123" spans="1:38" s="14" customFormat="1" ht="12.75">
      <c r="A123" s="21"/>
      <c r="B123" s="22"/>
      <c r="C123" s="23"/>
      <c r="D123" s="24"/>
      <c r="E123" s="41"/>
      <c r="F123" s="21"/>
      <c r="G123" s="21"/>
      <c r="H123" s="21"/>
      <c r="I123" s="21"/>
      <c r="J123" s="21"/>
      <c r="K123" s="21"/>
      <c r="L123" s="15"/>
      <c r="M123" s="15"/>
      <c r="N123" s="25"/>
      <c r="O123" s="21"/>
      <c r="P123" s="8"/>
      <c r="Q123" s="21"/>
      <c r="R123" s="52"/>
      <c r="S123" s="16"/>
      <c r="T123" s="16"/>
      <c r="U123" s="20"/>
      <c r="V123" s="21"/>
      <c r="W123" s="8"/>
      <c r="X123" s="25"/>
      <c r="Y123" s="8"/>
      <c r="Z123" s="16"/>
      <c r="AA123" s="16"/>
      <c r="AB123" s="16"/>
      <c r="AD123" s="16"/>
      <c r="AE123" s="21"/>
      <c r="AF123" s="8"/>
      <c r="AG123" s="70"/>
      <c r="AL123" s="63"/>
    </row>
    <row r="124" spans="1:38" s="14" customFormat="1" ht="12.75">
      <c r="A124" s="21"/>
      <c r="B124" s="22"/>
      <c r="C124" s="23"/>
      <c r="D124" s="24"/>
      <c r="E124" s="41"/>
      <c r="F124" s="21"/>
      <c r="G124" s="21"/>
      <c r="H124" s="21"/>
      <c r="I124" s="21"/>
      <c r="J124" s="21"/>
      <c r="K124" s="21"/>
      <c r="L124" s="15"/>
      <c r="M124" s="15"/>
      <c r="N124" s="25"/>
      <c r="O124" s="21"/>
      <c r="P124" s="8"/>
      <c r="Q124" s="21"/>
      <c r="R124" s="52"/>
      <c r="S124" s="16"/>
      <c r="T124" s="16"/>
      <c r="U124" s="20"/>
      <c r="V124" s="21"/>
      <c r="W124" s="8"/>
      <c r="X124" s="25"/>
      <c r="Y124" s="8"/>
      <c r="Z124" s="16"/>
      <c r="AA124" s="16"/>
      <c r="AB124" s="16"/>
      <c r="AD124" s="16"/>
      <c r="AE124" s="21"/>
      <c r="AF124" s="8"/>
      <c r="AG124" s="70"/>
      <c r="AL124" s="63"/>
    </row>
    <row r="125" spans="1:38" s="14" customFormat="1" ht="12.75">
      <c r="A125" s="21"/>
      <c r="B125" s="22"/>
      <c r="C125" s="23"/>
      <c r="D125" s="24"/>
      <c r="E125" s="41"/>
      <c r="F125" s="21"/>
      <c r="G125" s="21"/>
      <c r="H125" s="21"/>
      <c r="I125" s="21"/>
      <c r="J125" s="21"/>
      <c r="K125" s="21"/>
      <c r="L125" s="15"/>
      <c r="M125" s="15"/>
      <c r="N125" s="25"/>
      <c r="O125" s="21"/>
      <c r="P125" s="8"/>
      <c r="Q125" s="21"/>
      <c r="R125" s="52"/>
      <c r="S125" s="16"/>
      <c r="T125" s="16"/>
      <c r="U125" s="20"/>
      <c r="V125" s="21"/>
      <c r="W125" s="8"/>
      <c r="X125" s="25"/>
      <c r="Y125" s="8"/>
      <c r="Z125" s="16"/>
      <c r="AA125" s="16"/>
      <c r="AB125" s="16"/>
      <c r="AD125" s="16"/>
      <c r="AE125" s="21"/>
      <c r="AF125" s="8"/>
      <c r="AG125" s="70"/>
      <c r="AL125" s="63"/>
    </row>
    <row r="126" spans="1:38" s="14" customFormat="1" ht="12.75">
      <c r="A126" s="21"/>
      <c r="B126" s="22"/>
      <c r="C126" s="23"/>
      <c r="D126" s="24"/>
      <c r="E126" s="41"/>
      <c r="F126" s="21"/>
      <c r="G126" s="21"/>
      <c r="H126" s="21"/>
      <c r="I126" s="21"/>
      <c r="J126" s="21"/>
      <c r="K126" s="21"/>
      <c r="L126" s="15"/>
      <c r="M126" s="15"/>
      <c r="N126" s="25"/>
      <c r="O126" s="21"/>
      <c r="P126" s="8"/>
      <c r="Q126" s="21"/>
      <c r="R126" s="52"/>
      <c r="S126" s="16"/>
      <c r="T126" s="16"/>
      <c r="U126" s="20"/>
      <c r="V126" s="21"/>
      <c r="W126" s="8"/>
      <c r="X126" s="25"/>
      <c r="Y126" s="8"/>
      <c r="Z126" s="16"/>
      <c r="AA126" s="16"/>
      <c r="AB126" s="16"/>
      <c r="AD126" s="16"/>
      <c r="AE126" s="21"/>
      <c r="AF126" s="8"/>
      <c r="AG126" s="70"/>
      <c r="AL126" s="63"/>
    </row>
    <row r="127" spans="1:38" s="14" customFormat="1" ht="12.75">
      <c r="A127" s="21"/>
      <c r="B127" s="22"/>
      <c r="C127" s="23"/>
      <c r="D127" s="24"/>
      <c r="E127" s="41"/>
      <c r="F127" s="21"/>
      <c r="G127" s="21"/>
      <c r="H127" s="21"/>
      <c r="I127" s="21"/>
      <c r="J127" s="21"/>
      <c r="K127" s="21"/>
      <c r="L127" s="15"/>
      <c r="M127" s="15"/>
      <c r="N127" s="25"/>
      <c r="O127" s="21"/>
      <c r="P127" s="8"/>
      <c r="Q127" s="21"/>
      <c r="R127" s="52"/>
      <c r="S127" s="16"/>
      <c r="T127" s="16"/>
      <c r="U127" s="20"/>
      <c r="V127" s="21"/>
      <c r="W127" s="8"/>
      <c r="X127" s="25"/>
      <c r="Y127" s="8"/>
      <c r="Z127" s="16"/>
      <c r="AA127" s="16"/>
      <c r="AB127" s="16"/>
      <c r="AD127" s="16"/>
      <c r="AE127" s="21"/>
      <c r="AF127" s="8"/>
      <c r="AG127" s="70"/>
      <c r="AL127" s="63"/>
    </row>
    <row r="128" spans="1:38" s="14" customFormat="1" ht="12.75">
      <c r="A128" s="21"/>
      <c r="B128" s="22"/>
      <c r="C128" s="23"/>
      <c r="D128" s="24"/>
      <c r="E128" s="41"/>
      <c r="F128" s="21"/>
      <c r="G128" s="21"/>
      <c r="H128" s="21"/>
      <c r="I128" s="21"/>
      <c r="J128" s="21"/>
      <c r="K128" s="21"/>
      <c r="L128" s="15"/>
      <c r="M128" s="15"/>
      <c r="N128" s="25"/>
      <c r="O128" s="21"/>
      <c r="P128" s="8"/>
      <c r="Q128" s="21"/>
      <c r="R128" s="52"/>
      <c r="S128" s="16"/>
      <c r="T128" s="16"/>
      <c r="U128" s="20"/>
      <c r="V128" s="21"/>
      <c r="W128" s="8"/>
      <c r="X128" s="25"/>
      <c r="Y128" s="8"/>
      <c r="Z128" s="16"/>
      <c r="AA128" s="16"/>
      <c r="AB128" s="16"/>
      <c r="AD128" s="16"/>
      <c r="AE128" s="21"/>
      <c r="AF128" s="8"/>
      <c r="AG128" s="70"/>
      <c r="AL128" s="63"/>
    </row>
    <row r="129" spans="1:38" s="14" customFormat="1" ht="12.75">
      <c r="A129" s="21"/>
      <c r="B129" s="22"/>
      <c r="C129" s="23"/>
      <c r="D129" s="24"/>
      <c r="E129" s="41"/>
      <c r="F129" s="21"/>
      <c r="G129" s="21"/>
      <c r="H129" s="21"/>
      <c r="I129" s="21"/>
      <c r="J129" s="21"/>
      <c r="K129" s="21"/>
      <c r="L129" s="15"/>
      <c r="M129" s="15"/>
      <c r="N129" s="25"/>
      <c r="O129" s="21"/>
      <c r="P129" s="8"/>
      <c r="Q129" s="21"/>
      <c r="R129" s="52"/>
      <c r="S129" s="16"/>
      <c r="T129" s="16"/>
      <c r="U129" s="20"/>
      <c r="V129" s="21"/>
      <c r="W129" s="8"/>
      <c r="X129" s="25"/>
      <c r="Y129" s="8"/>
      <c r="Z129" s="16"/>
      <c r="AA129" s="16"/>
      <c r="AB129" s="16"/>
      <c r="AD129" s="16"/>
      <c r="AE129" s="21"/>
      <c r="AF129" s="8"/>
      <c r="AG129" s="70"/>
      <c r="AL129" s="63"/>
    </row>
    <row r="130" spans="1:38" s="14" customFormat="1" ht="12.75">
      <c r="A130" s="21"/>
      <c r="B130" s="22"/>
      <c r="C130" s="23"/>
      <c r="D130" s="24"/>
      <c r="E130" s="41"/>
      <c r="F130" s="21"/>
      <c r="G130" s="21"/>
      <c r="H130" s="21"/>
      <c r="I130" s="21"/>
      <c r="J130" s="21"/>
      <c r="K130" s="21"/>
      <c r="L130" s="15"/>
      <c r="M130" s="15"/>
      <c r="N130" s="25"/>
      <c r="O130" s="21"/>
      <c r="P130" s="8"/>
      <c r="Q130" s="21"/>
      <c r="R130" s="52"/>
      <c r="S130" s="16"/>
      <c r="T130" s="16"/>
      <c r="U130" s="20"/>
      <c r="V130" s="21"/>
      <c r="W130" s="8"/>
      <c r="X130" s="25"/>
      <c r="Y130" s="8"/>
      <c r="Z130" s="16"/>
      <c r="AA130" s="16"/>
      <c r="AB130" s="16"/>
      <c r="AD130" s="16"/>
      <c r="AE130" s="21"/>
      <c r="AF130" s="8"/>
      <c r="AG130" s="70"/>
      <c r="AL130" s="63"/>
    </row>
    <row r="131" spans="1:38" s="14" customFormat="1" ht="12.75">
      <c r="A131" s="21"/>
      <c r="B131" s="22"/>
      <c r="C131" s="23"/>
      <c r="D131" s="24"/>
      <c r="E131" s="41"/>
      <c r="F131" s="21"/>
      <c r="G131" s="21"/>
      <c r="H131" s="21"/>
      <c r="I131" s="21"/>
      <c r="J131" s="21"/>
      <c r="K131" s="21"/>
      <c r="L131" s="15"/>
      <c r="M131" s="15"/>
      <c r="N131" s="25"/>
      <c r="O131" s="21"/>
      <c r="P131" s="8"/>
      <c r="Q131" s="21"/>
      <c r="R131" s="52"/>
      <c r="S131" s="16"/>
      <c r="T131" s="16"/>
      <c r="U131" s="20"/>
      <c r="V131" s="21"/>
      <c r="W131" s="8"/>
      <c r="X131" s="25"/>
      <c r="Y131" s="8"/>
      <c r="Z131" s="16"/>
      <c r="AA131" s="16"/>
      <c r="AB131" s="16"/>
      <c r="AD131" s="16"/>
      <c r="AE131" s="21"/>
      <c r="AF131" s="8"/>
      <c r="AG131" s="70"/>
      <c r="AL131" s="63"/>
    </row>
    <row r="132" spans="1:38" s="14" customFormat="1" ht="12.75">
      <c r="A132" s="21"/>
      <c r="B132" s="22"/>
      <c r="C132" s="23"/>
      <c r="D132" s="24"/>
      <c r="E132" s="41"/>
      <c r="F132" s="21"/>
      <c r="G132" s="21"/>
      <c r="H132" s="21"/>
      <c r="I132" s="21"/>
      <c r="J132" s="21"/>
      <c r="K132" s="21"/>
      <c r="L132" s="15"/>
      <c r="M132" s="15"/>
      <c r="N132" s="25"/>
      <c r="O132" s="21"/>
      <c r="P132" s="8"/>
      <c r="Q132" s="21"/>
      <c r="R132" s="52"/>
      <c r="S132" s="16"/>
      <c r="T132" s="16"/>
      <c r="U132" s="20"/>
      <c r="V132" s="21"/>
      <c r="W132" s="8"/>
      <c r="X132" s="25"/>
      <c r="Y132" s="8"/>
      <c r="Z132" s="16"/>
      <c r="AA132" s="16"/>
      <c r="AB132" s="16"/>
      <c r="AD132" s="16"/>
      <c r="AE132" s="21"/>
      <c r="AF132" s="8"/>
      <c r="AG132" s="70"/>
      <c r="AL132" s="63"/>
    </row>
    <row r="133" spans="1:38" s="14" customFormat="1" ht="12.75">
      <c r="A133" s="21"/>
      <c r="B133" s="22"/>
      <c r="C133" s="23"/>
      <c r="D133" s="24"/>
      <c r="E133" s="41"/>
      <c r="F133" s="21"/>
      <c r="G133" s="21"/>
      <c r="H133" s="21"/>
      <c r="I133" s="21"/>
      <c r="J133" s="21"/>
      <c r="K133" s="21"/>
      <c r="L133" s="15"/>
      <c r="M133" s="15"/>
      <c r="N133" s="25"/>
      <c r="O133" s="21"/>
      <c r="P133" s="8"/>
      <c r="Q133" s="21"/>
      <c r="R133" s="52"/>
      <c r="S133" s="16"/>
      <c r="T133" s="16"/>
      <c r="U133" s="20"/>
      <c r="V133" s="21"/>
      <c r="W133" s="8"/>
      <c r="X133" s="25"/>
      <c r="Y133" s="8"/>
      <c r="Z133" s="16"/>
      <c r="AA133" s="16"/>
      <c r="AB133" s="16"/>
      <c r="AD133" s="16"/>
      <c r="AE133" s="21"/>
      <c r="AF133" s="8"/>
      <c r="AG133" s="70"/>
      <c r="AL133" s="63"/>
    </row>
    <row r="134" spans="1:38" s="14" customFormat="1" ht="12.75">
      <c r="A134" s="21"/>
      <c r="B134" s="22"/>
      <c r="C134" s="23"/>
      <c r="D134" s="24"/>
      <c r="E134" s="41"/>
      <c r="F134" s="21"/>
      <c r="G134" s="21"/>
      <c r="H134" s="21"/>
      <c r="I134" s="21"/>
      <c r="J134" s="21"/>
      <c r="K134" s="21"/>
      <c r="L134" s="15"/>
      <c r="M134" s="15"/>
      <c r="N134" s="25"/>
      <c r="O134" s="21"/>
      <c r="P134" s="8"/>
      <c r="Q134" s="21"/>
      <c r="R134" s="52"/>
      <c r="S134" s="16"/>
      <c r="T134" s="16"/>
      <c r="U134" s="20"/>
      <c r="V134" s="21"/>
      <c r="W134" s="8"/>
      <c r="X134" s="25"/>
      <c r="Y134" s="8"/>
      <c r="Z134" s="16"/>
      <c r="AA134" s="16"/>
      <c r="AB134" s="16"/>
      <c r="AD134" s="16"/>
      <c r="AE134" s="21"/>
      <c r="AF134" s="8"/>
      <c r="AG134" s="70"/>
      <c r="AL134" s="63"/>
    </row>
    <row r="135" spans="1:38" s="14" customFormat="1" ht="12.75">
      <c r="A135" s="21"/>
      <c r="B135" s="22"/>
      <c r="C135" s="23"/>
      <c r="D135" s="24"/>
      <c r="E135" s="41"/>
      <c r="F135" s="21"/>
      <c r="G135" s="21"/>
      <c r="H135" s="21"/>
      <c r="I135" s="21"/>
      <c r="J135" s="21"/>
      <c r="K135" s="21"/>
      <c r="L135" s="15"/>
      <c r="M135" s="15"/>
      <c r="N135" s="25"/>
      <c r="O135" s="21"/>
      <c r="P135" s="8"/>
      <c r="Q135" s="21"/>
      <c r="R135" s="52"/>
      <c r="S135" s="16"/>
      <c r="T135" s="16"/>
      <c r="U135" s="20"/>
      <c r="V135" s="21"/>
      <c r="W135" s="8"/>
      <c r="X135" s="25"/>
      <c r="Y135" s="8"/>
      <c r="Z135" s="16"/>
      <c r="AA135" s="16"/>
      <c r="AB135" s="16"/>
      <c r="AD135" s="16"/>
      <c r="AE135" s="21"/>
      <c r="AF135" s="8"/>
      <c r="AG135" s="70"/>
      <c r="AL135" s="63"/>
    </row>
    <row r="136" spans="1:38" s="14" customFormat="1" ht="12.75">
      <c r="A136" s="21"/>
      <c r="B136" s="22"/>
      <c r="C136" s="23"/>
      <c r="D136" s="24"/>
      <c r="E136" s="41"/>
      <c r="F136" s="21"/>
      <c r="G136" s="21"/>
      <c r="H136" s="21"/>
      <c r="I136" s="21"/>
      <c r="J136" s="21"/>
      <c r="K136" s="21"/>
      <c r="L136" s="15"/>
      <c r="M136" s="15"/>
      <c r="N136" s="25"/>
      <c r="O136" s="21"/>
      <c r="P136" s="8"/>
      <c r="Q136" s="21"/>
      <c r="R136" s="52"/>
      <c r="S136" s="16"/>
      <c r="T136" s="16"/>
      <c r="U136" s="20"/>
      <c r="V136" s="21"/>
      <c r="W136" s="8"/>
      <c r="X136" s="25"/>
      <c r="Y136" s="8"/>
      <c r="Z136" s="16"/>
      <c r="AA136" s="16"/>
      <c r="AB136" s="16"/>
      <c r="AD136" s="16"/>
      <c r="AE136" s="21"/>
      <c r="AF136" s="8"/>
      <c r="AG136" s="70"/>
      <c r="AL136" s="63"/>
    </row>
    <row r="137" spans="1:38" s="14" customFormat="1" ht="12.75">
      <c r="A137" s="21"/>
      <c r="B137" s="22"/>
      <c r="C137" s="23"/>
      <c r="D137" s="24"/>
      <c r="E137" s="41"/>
      <c r="F137" s="21"/>
      <c r="G137" s="21"/>
      <c r="H137" s="21"/>
      <c r="I137" s="21"/>
      <c r="J137" s="21"/>
      <c r="K137" s="21"/>
      <c r="L137" s="15"/>
      <c r="M137" s="15"/>
      <c r="N137" s="25"/>
      <c r="O137" s="21"/>
      <c r="P137" s="8"/>
      <c r="Q137" s="21"/>
      <c r="R137" s="52"/>
      <c r="S137" s="16"/>
      <c r="T137" s="16"/>
      <c r="U137" s="20"/>
      <c r="V137" s="21"/>
      <c r="W137" s="8"/>
      <c r="X137" s="25"/>
      <c r="Y137" s="8"/>
      <c r="Z137" s="16"/>
      <c r="AA137" s="16"/>
      <c r="AB137" s="16"/>
      <c r="AD137" s="16"/>
      <c r="AE137" s="21"/>
      <c r="AF137" s="8"/>
      <c r="AG137" s="70"/>
      <c r="AL137" s="63"/>
    </row>
    <row r="138" spans="1:38" s="14" customFormat="1" ht="12.75">
      <c r="A138" s="21"/>
      <c r="B138" s="22"/>
      <c r="C138" s="23"/>
      <c r="D138" s="24"/>
      <c r="E138" s="41"/>
      <c r="F138" s="21"/>
      <c r="G138" s="21"/>
      <c r="H138" s="21"/>
      <c r="I138" s="21"/>
      <c r="J138" s="21"/>
      <c r="K138" s="21"/>
      <c r="L138" s="15"/>
      <c r="M138" s="15"/>
      <c r="N138" s="25"/>
      <c r="O138" s="21"/>
      <c r="P138" s="8"/>
      <c r="Q138" s="21"/>
      <c r="R138" s="52"/>
      <c r="S138" s="16"/>
      <c r="T138" s="16"/>
      <c r="U138" s="20"/>
      <c r="V138" s="21"/>
      <c r="W138" s="8"/>
      <c r="X138" s="25"/>
      <c r="Y138" s="8"/>
      <c r="Z138" s="16"/>
      <c r="AA138" s="16"/>
      <c r="AB138" s="16"/>
      <c r="AD138" s="16"/>
      <c r="AE138" s="21"/>
      <c r="AF138" s="8"/>
      <c r="AG138" s="70"/>
      <c r="AL138" s="63"/>
    </row>
    <row r="139" spans="1:38" s="14" customFormat="1" ht="12.75">
      <c r="A139" s="21"/>
      <c r="B139" s="22"/>
      <c r="C139" s="23"/>
      <c r="D139" s="24"/>
      <c r="E139" s="41"/>
      <c r="F139" s="21"/>
      <c r="G139" s="21"/>
      <c r="H139" s="21"/>
      <c r="I139" s="21"/>
      <c r="J139" s="21"/>
      <c r="K139" s="21"/>
      <c r="L139" s="15"/>
      <c r="M139" s="15"/>
      <c r="N139" s="25"/>
      <c r="O139" s="21"/>
      <c r="P139" s="8"/>
      <c r="Q139" s="21"/>
      <c r="R139" s="52"/>
      <c r="S139" s="16"/>
      <c r="T139" s="16"/>
      <c r="U139" s="20"/>
      <c r="V139" s="21"/>
      <c r="W139" s="8"/>
      <c r="X139" s="25"/>
      <c r="Y139" s="8"/>
      <c r="Z139" s="16"/>
      <c r="AA139" s="16"/>
      <c r="AB139" s="16"/>
      <c r="AD139" s="16"/>
      <c r="AE139" s="21"/>
      <c r="AF139" s="8"/>
      <c r="AG139" s="70"/>
      <c r="AL139" s="63"/>
    </row>
    <row r="140" spans="1:38" s="14" customFormat="1" ht="12.75">
      <c r="A140" s="21"/>
      <c r="B140" s="22"/>
      <c r="C140" s="23"/>
      <c r="D140" s="24"/>
      <c r="E140" s="41"/>
      <c r="F140" s="21"/>
      <c r="G140" s="21"/>
      <c r="H140" s="21"/>
      <c r="I140" s="21"/>
      <c r="J140" s="21"/>
      <c r="K140" s="21"/>
      <c r="L140" s="15"/>
      <c r="M140" s="15"/>
      <c r="N140" s="25"/>
      <c r="O140" s="21"/>
      <c r="P140" s="8"/>
      <c r="Q140" s="21"/>
      <c r="R140" s="52"/>
      <c r="S140" s="16"/>
      <c r="T140" s="16"/>
      <c r="U140" s="20"/>
      <c r="V140" s="21"/>
      <c r="W140" s="8"/>
      <c r="X140" s="25"/>
      <c r="Y140" s="8"/>
      <c r="Z140" s="16"/>
      <c r="AA140" s="16"/>
      <c r="AB140" s="16"/>
      <c r="AD140" s="16"/>
      <c r="AE140" s="21"/>
      <c r="AF140" s="8"/>
      <c r="AG140" s="70"/>
      <c r="AL140" s="63"/>
    </row>
    <row r="141" spans="1:38" s="14" customFormat="1" ht="12.75">
      <c r="A141" s="21"/>
      <c r="B141" s="22"/>
      <c r="C141" s="23"/>
      <c r="D141" s="24"/>
      <c r="E141" s="41"/>
      <c r="F141" s="21"/>
      <c r="G141" s="21"/>
      <c r="H141" s="21"/>
      <c r="I141" s="21"/>
      <c r="J141" s="21"/>
      <c r="K141" s="21"/>
      <c r="L141" s="15"/>
      <c r="M141" s="15"/>
      <c r="N141" s="25"/>
      <c r="O141" s="21"/>
      <c r="P141" s="8"/>
      <c r="Q141" s="21"/>
      <c r="R141" s="52"/>
      <c r="S141" s="16"/>
      <c r="T141" s="16"/>
      <c r="U141" s="20"/>
      <c r="V141" s="21"/>
      <c r="W141" s="8"/>
      <c r="X141" s="25"/>
      <c r="Y141" s="8"/>
      <c r="Z141" s="16"/>
      <c r="AA141" s="16"/>
      <c r="AB141" s="16"/>
      <c r="AD141" s="16"/>
      <c r="AE141" s="21"/>
      <c r="AF141" s="8"/>
      <c r="AG141" s="70"/>
      <c r="AL141" s="63"/>
    </row>
    <row r="142" spans="1:38" s="14" customFormat="1" ht="12.75">
      <c r="A142" s="21"/>
      <c r="B142" s="22"/>
      <c r="C142" s="23"/>
      <c r="D142" s="24"/>
      <c r="E142" s="41"/>
      <c r="F142" s="21"/>
      <c r="G142" s="21"/>
      <c r="H142" s="21"/>
      <c r="I142" s="21"/>
      <c r="J142" s="21"/>
      <c r="K142" s="21"/>
      <c r="L142" s="15"/>
      <c r="M142" s="15"/>
      <c r="N142" s="25"/>
      <c r="O142" s="21"/>
      <c r="P142" s="8"/>
      <c r="Q142" s="21"/>
      <c r="R142" s="52"/>
      <c r="S142" s="16"/>
      <c r="T142" s="16"/>
      <c r="U142" s="20"/>
      <c r="V142" s="21"/>
      <c r="W142" s="8"/>
      <c r="X142" s="25"/>
      <c r="Y142" s="8"/>
      <c r="Z142" s="16"/>
      <c r="AA142" s="16"/>
      <c r="AB142" s="16"/>
      <c r="AD142" s="16"/>
      <c r="AE142" s="21"/>
      <c r="AF142" s="8"/>
      <c r="AG142" s="70"/>
      <c r="AL142" s="63"/>
    </row>
    <row r="143" spans="1:38" s="14" customFormat="1" ht="12.75">
      <c r="A143" s="21"/>
      <c r="B143" s="22"/>
      <c r="C143" s="23"/>
      <c r="D143" s="24"/>
      <c r="E143" s="41"/>
      <c r="F143" s="21"/>
      <c r="G143" s="21"/>
      <c r="H143" s="21"/>
      <c r="I143" s="21"/>
      <c r="J143" s="21"/>
      <c r="K143" s="21"/>
      <c r="L143" s="15"/>
      <c r="M143" s="15"/>
      <c r="N143" s="25"/>
      <c r="O143" s="21"/>
      <c r="P143" s="8"/>
      <c r="Q143" s="21"/>
      <c r="R143" s="52"/>
      <c r="S143" s="16"/>
      <c r="T143" s="16"/>
      <c r="U143" s="20"/>
      <c r="V143" s="21"/>
      <c r="W143" s="8"/>
      <c r="X143" s="25"/>
      <c r="Y143" s="8"/>
      <c r="Z143" s="16"/>
      <c r="AA143" s="16"/>
      <c r="AB143" s="16"/>
      <c r="AD143" s="16"/>
      <c r="AE143" s="21"/>
      <c r="AF143" s="8"/>
      <c r="AG143" s="70"/>
      <c r="AL143" s="63"/>
    </row>
    <row r="144" spans="1:38" s="14" customFormat="1" ht="12.75">
      <c r="A144" s="21"/>
      <c r="B144" s="22"/>
      <c r="C144" s="23"/>
      <c r="D144" s="24"/>
      <c r="E144" s="41"/>
      <c r="F144" s="21"/>
      <c r="G144" s="21"/>
      <c r="H144" s="21"/>
      <c r="I144" s="21"/>
      <c r="J144" s="21"/>
      <c r="K144" s="21"/>
      <c r="L144" s="15"/>
      <c r="M144" s="15"/>
      <c r="N144" s="25"/>
      <c r="O144" s="21"/>
      <c r="P144" s="8"/>
      <c r="Q144" s="21"/>
      <c r="R144" s="52"/>
      <c r="S144" s="16"/>
      <c r="T144" s="16"/>
      <c r="U144" s="20"/>
      <c r="V144" s="21"/>
      <c r="W144" s="8"/>
      <c r="X144" s="25"/>
      <c r="Y144" s="8"/>
      <c r="Z144" s="16"/>
      <c r="AA144" s="16"/>
      <c r="AB144" s="16"/>
      <c r="AD144" s="16"/>
      <c r="AE144" s="21"/>
      <c r="AF144" s="8"/>
      <c r="AG144" s="70"/>
      <c r="AL144" s="63"/>
    </row>
    <row r="145" spans="1:38" s="14" customFormat="1" ht="12.75">
      <c r="A145" s="21"/>
      <c r="B145" s="22"/>
      <c r="C145" s="23"/>
      <c r="D145" s="24"/>
      <c r="E145" s="41"/>
      <c r="F145" s="21"/>
      <c r="G145" s="21"/>
      <c r="H145" s="21"/>
      <c r="I145" s="21"/>
      <c r="J145" s="21"/>
      <c r="K145" s="21"/>
      <c r="L145" s="15"/>
      <c r="M145" s="15"/>
      <c r="N145" s="25"/>
      <c r="O145" s="21"/>
      <c r="P145" s="8"/>
      <c r="Q145" s="21"/>
      <c r="R145" s="52"/>
      <c r="S145" s="16"/>
      <c r="T145" s="16"/>
      <c r="U145" s="20"/>
      <c r="V145" s="21"/>
      <c r="W145" s="8"/>
      <c r="X145" s="25"/>
      <c r="Y145" s="8"/>
      <c r="Z145" s="16"/>
      <c r="AA145" s="16"/>
      <c r="AB145" s="16"/>
      <c r="AD145" s="16"/>
      <c r="AE145" s="21"/>
      <c r="AF145" s="8"/>
      <c r="AG145" s="70"/>
      <c r="AL145" s="63"/>
    </row>
    <row r="146" spans="1:38" s="14" customFormat="1" ht="12.75">
      <c r="A146" s="21"/>
      <c r="B146" s="22"/>
      <c r="C146" s="23"/>
      <c r="D146" s="24"/>
      <c r="E146" s="41"/>
      <c r="F146" s="21"/>
      <c r="G146" s="21"/>
      <c r="H146" s="21"/>
      <c r="I146" s="21"/>
      <c r="J146" s="21"/>
      <c r="K146" s="21"/>
      <c r="L146" s="15"/>
      <c r="M146" s="15"/>
      <c r="N146" s="25"/>
      <c r="O146" s="21"/>
      <c r="P146" s="8"/>
      <c r="Q146" s="21"/>
      <c r="R146" s="52"/>
      <c r="S146" s="16"/>
      <c r="T146" s="16"/>
      <c r="U146" s="20"/>
      <c r="V146" s="21"/>
      <c r="W146" s="8"/>
      <c r="X146" s="25"/>
      <c r="Y146" s="8"/>
      <c r="Z146" s="16"/>
      <c r="AA146" s="16"/>
      <c r="AB146" s="16"/>
      <c r="AD146" s="16"/>
      <c r="AE146" s="21"/>
      <c r="AF146" s="8"/>
      <c r="AG146" s="70"/>
      <c r="AL146" s="63"/>
    </row>
    <row r="147" spans="1:38" s="14" customFormat="1" ht="12.75">
      <c r="A147" s="21"/>
      <c r="B147" s="22"/>
      <c r="C147" s="23"/>
      <c r="D147" s="24"/>
      <c r="E147" s="41"/>
      <c r="F147" s="21"/>
      <c r="G147" s="21"/>
      <c r="H147" s="21"/>
      <c r="I147" s="21"/>
      <c r="J147" s="21"/>
      <c r="K147" s="21"/>
      <c r="L147" s="15"/>
      <c r="M147" s="15"/>
      <c r="N147" s="25"/>
      <c r="O147" s="21"/>
      <c r="P147" s="8"/>
      <c r="Q147" s="21"/>
      <c r="R147" s="52"/>
      <c r="S147" s="16"/>
      <c r="T147" s="16"/>
      <c r="U147" s="20"/>
      <c r="V147" s="21"/>
      <c r="W147" s="8"/>
      <c r="X147" s="25"/>
      <c r="Y147" s="8"/>
      <c r="Z147" s="16"/>
      <c r="AA147" s="16"/>
      <c r="AB147" s="16"/>
      <c r="AD147" s="16"/>
      <c r="AE147" s="21"/>
      <c r="AF147" s="8"/>
      <c r="AG147" s="70"/>
      <c r="AL147" s="63"/>
    </row>
    <row r="148" spans="1:38" s="14" customFormat="1" ht="12.75">
      <c r="A148" s="21"/>
      <c r="B148" s="22"/>
      <c r="C148" s="23"/>
      <c r="D148" s="24"/>
      <c r="E148" s="41"/>
      <c r="F148" s="21"/>
      <c r="G148" s="21"/>
      <c r="H148" s="21"/>
      <c r="I148" s="21"/>
      <c r="J148" s="21"/>
      <c r="K148" s="21"/>
      <c r="L148" s="15"/>
      <c r="M148" s="15"/>
      <c r="N148" s="25"/>
      <c r="O148" s="21"/>
      <c r="P148" s="8"/>
      <c r="Q148" s="21"/>
      <c r="R148" s="52"/>
      <c r="S148" s="16"/>
      <c r="T148" s="16"/>
      <c r="U148" s="20"/>
      <c r="V148" s="21"/>
      <c r="W148" s="8"/>
      <c r="X148" s="25"/>
      <c r="Y148" s="8"/>
      <c r="Z148" s="16"/>
      <c r="AA148" s="16"/>
      <c r="AB148" s="16"/>
      <c r="AD148" s="16"/>
      <c r="AE148" s="21"/>
      <c r="AF148" s="8"/>
      <c r="AG148" s="70"/>
      <c r="AL148" s="63"/>
    </row>
    <row r="149" spans="1:38" s="14" customFormat="1" ht="12.75">
      <c r="A149" s="21"/>
      <c r="B149" s="22"/>
      <c r="C149" s="23"/>
      <c r="D149" s="24"/>
      <c r="E149" s="41"/>
      <c r="F149" s="21"/>
      <c r="G149" s="21"/>
      <c r="H149" s="21"/>
      <c r="I149" s="21"/>
      <c r="J149" s="21"/>
      <c r="K149" s="21"/>
      <c r="L149" s="15"/>
      <c r="M149" s="15"/>
      <c r="N149" s="25"/>
      <c r="O149" s="21"/>
      <c r="P149" s="8"/>
      <c r="Q149" s="21"/>
      <c r="R149" s="52"/>
      <c r="S149" s="16"/>
      <c r="T149" s="16"/>
      <c r="U149" s="20"/>
      <c r="V149" s="21"/>
      <c r="W149" s="8"/>
      <c r="X149" s="25"/>
      <c r="Y149" s="8"/>
      <c r="Z149" s="16"/>
      <c r="AA149" s="16"/>
      <c r="AB149" s="16"/>
      <c r="AD149" s="16"/>
      <c r="AE149" s="21"/>
      <c r="AF149" s="8"/>
      <c r="AG149" s="70"/>
      <c r="AL149" s="63"/>
    </row>
    <row r="150" spans="1:38" s="14" customFormat="1" ht="12.75">
      <c r="A150" s="21"/>
      <c r="B150" s="22"/>
      <c r="C150" s="23"/>
      <c r="D150" s="24"/>
      <c r="E150" s="41"/>
      <c r="F150" s="21"/>
      <c r="G150" s="21"/>
      <c r="H150" s="21"/>
      <c r="I150" s="21"/>
      <c r="J150" s="21"/>
      <c r="K150" s="21"/>
      <c r="L150" s="15"/>
      <c r="M150" s="15"/>
      <c r="N150" s="25"/>
      <c r="O150" s="21"/>
      <c r="P150" s="8"/>
      <c r="Q150" s="21"/>
      <c r="R150" s="52"/>
      <c r="S150" s="16"/>
      <c r="T150" s="16"/>
      <c r="U150" s="20"/>
      <c r="V150" s="21"/>
      <c r="W150" s="8"/>
      <c r="X150" s="25"/>
      <c r="Y150" s="8"/>
      <c r="Z150" s="16"/>
      <c r="AA150" s="16"/>
      <c r="AB150" s="16"/>
      <c r="AD150" s="16"/>
      <c r="AE150" s="21"/>
      <c r="AF150" s="8"/>
      <c r="AG150" s="70"/>
      <c r="AL150" s="63"/>
    </row>
    <row r="151" spans="1:38" s="14" customFormat="1" ht="12.75">
      <c r="A151" s="21"/>
      <c r="B151" s="22"/>
      <c r="C151" s="23"/>
      <c r="D151" s="24"/>
      <c r="E151" s="41"/>
      <c r="F151" s="21"/>
      <c r="G151" s="21"/>
      <c r="H151" s="21"/>
      <c r="I151" s="21"/>
      <c r="J151" s="21"/>
      <c r="K151" s="21"/>
      <c r="L151" s="15"/>
      <c r="M151" s="15"/>
      <c r="N151" s="25"/>
      <c r="O151" s="21"/>
      <c r="P151" s="8"/>
      <c r="Q151" s="21"/>
      <c r="R151" s="52"/>
      <c r="S151" s="16"/>
      <c r="T151" s="16"/>
      <c r="U151" s="20"/>
      <c r="V151" s="21"/>
      <c r="W151" s="8"/>
      <c r="X151" s="25"/>
      <c r="Y151" s="8"/>
      <c r="Z151" s="16"/>
      <c r="AA151" s="16"/>
      <c r="AB151" s="16"/>
      <c r="AD151" s="16"/>
      <c r="AE151" s="21"/>
      <c r="AF151" s="8"/>
      <c r="AG151" s="70"/>
      <c r="AL151" s="63"/>
    </row>
    <row r="152" spans="1:33" s="14" customFormat="1" ht="12.75">
      <c r="A152" s="21"/>
      <c r="B152" s="22"/>
      <c r="C152" s="23"/>
      <c r="D152" s="24"/>
      <c r="E152" s="41"/>
      <c r="F152" s="21"/>
      <c r="G152" s="21"/>
      <c r="H152" s="21"/>
      <c r="I152" s="21"/>
      <c r="J152" s="21"/>
      <c r="K152" s="21"/>
      <c r="L152" s="15"/>
      <c r="M152" s="15"/>
      <c r="N152" s="25"/>
      <c r="O152" s="21"/>
      <c r="P152" s="8"/>
      <c r="Q152" s="21"/>
      <c r="R152" s="52"/>
      <c r="S152" s="16"/>
      <c r="T152" s="16"/>
      <c r="U152" s="20"/>
      <c r="V152" s="21"/>
      <c r="W152" s="8"/>
      <c r="X152" s="25"/>
      <c r="Y152" s="8"/>
      <c r="Z152" s="16"/>
      <c r="AA152" s="16"/>
      <c r="AB152" s="16"/>
      <c r="AD152" s="16"/>
      <c r="AE152" s="21"/>
      <c r="AF152" s="8"/>
      <c r="AG152" s="70"/>
    </row>
    <row r="153" spans="1:33" s="14" customFormat="1" ht="12.75">
      <c r="A153" s="21"/>
      <c r="B153" s="22"/>
      <c r="C153" s="23"/>
      <c r="D153" s="24"/>
      <c r="E153" s="41"/>
      <c r="F153" s="21"/>
      <c r="G153" s="21"/>
      <c r="H153" s="21"/>
      <c r="I153" s="21"/>
      <c r="J153" s="21"/>
      <c r="K153" s="21"/>
      <c r="L153" s="15"/>
      <c r="M153" s="15"/>
      <c r="N153" s="25"/>
      <c r="O153" s="21"/>
      <c r="P153" s="8"/>
      <c r="Q153" s="21"/>
      <c r="R153" s="52"/>
      <c r="S153" s="16"/>
      <c r="T153" s="16"/>
      <c r="U153" s="20"/>
      <c r="V153" s="21"/>
      <c r="W153" s="8"/>
      <c r="X153" s="25"/>
      <c r="Y153" s="8"/>
      <c r="Z153" s="16"/>
      <c r="AA153" s="16"/>
      <c r="AB153" s="16"/>
      <c r="AD153" s="16"/>
      <c r="AE153" s="21"/>
      <c r="AF153" s="8"/>
      <c r="AG153" s="70"/>
    </row>
    <row r="154" spans="1:33" s="14" customFormat="1" ht="12.75">
      <c r="A154" s="21"/>
      <c r="B154" s="22"/>
      <c r="C154" s="23"/>
      <c r="D154" s="24"/>
      <c r="E154" s="41"/>
      <c r="F154" s="21"/>
      <c r="G154" s="21"/>
      <c r="H154" s="21"/>
      <c r="I154" s="21"/>
      <c r="J154" s="21"/>
      <c r="K154" s="21"/>
      <c r="L154" s="15"/>
      <c r="M154" s="15"/>
      <c r="N154" s="25"/>
      <c r="O154" s="21"/>
      <c r="P154" s="8"/>
      <c r="Q154" s="21"/>
      <c r="R154" s="52"/>
      <c r="S154" s="16"/>
      <c r="T154" s="16"/>
      <c r="U154" s="20"/>
      <c r="V154" s="21"/>
      <c r="W154" s="8"/>
      <c r="X154" s="25"/>
      <c r="Y154" s="8"/>
      <c r="Z154" s="16"/>
      <c r="AA154" s="16"/>
      <c r="AB154" s="16"/>
      <c r="AD154" s="16"/>
      <c r="AE154" s="21"/>
      <c r="AF154" s="8"/>
      <c r="AG154" s="70"/>
    </row>
    <row r="155" spans="1:33" s="14" customFormat="1" ht="12.75">
      <c r="A155" s="5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9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9"/>
    </row>
    <row r="156" spans="1:33" s="14" customFormat="1" ht="12.75">
      <c r="A156" s="5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9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9"/>
    </row>
    <row r="157" spans="1:33" s="14" customFormat="1" ht="12.75">
      <c r="A157" s="5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9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9"/>
    </row>
    <row r="158" spans="1:33" s="14" customFormat="1" ht="12.75">
      <c r="A158" s="5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9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9"/>
    </row>
    <row r="159" spans="1:33" s="14" customFormat="1" ht="12.75">
      <c r="A159" s="5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9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9"/>
    </row>
    <row r="160" spans="1:33" s="14" customFormat="1" ht="12.75">
      <c r="A160" s="5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9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9"/>
    </row>
  </sheetData>
  <sheetProtection/>
  <mergeCells count="19">
    <mergeCell ref="AD1:AD2"/>
    <mergeCell ref="V1:V2"/>
    <mergeCell ref="W1:W2"/>
    <mergeCell ref="X1:X2"/>
    <mergeCell ref="Y1:Y2"/>
    <mergeCell ref="I1:K1"/>
    <mergeCell ref="O1:Q1"/>
    <mergeCell ref="AG1:AG2"/>
    <mergeCell ref="AA1:AA2"/>
    <mergeCell ref="AB1:AB2"/>
    <mergeCell ref="AC1:AC2"/>
    <mergeCell ref="Z1:Z2"/>
    <mergeCell ref="AF1:AF2"/>
    <mergeCell ref="AE1:AE2"/>
    <mergeCell ref="N1:N2"/>
    <mergeCell ref="A1:A2"/>
    <mergeCell ref="B1:B2"/>
    <mergeCell ref="C1:D1"/>
    <mergeCell ref="F1:H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67"/>
  <sheetViews>
    <sheetView zoomScale="85" zoomScaleNormal="85" workbookViewId="0" topLeftCell="A1">
      <selection activeCell="A1" sqref="A1:B2"/>
    </sheetView>
  </sheetViews>
  <sheetFormatPr defaultColWidth="9.140625" defaultRowHeight="12.75"/>
  <sheetData>
    <row r="1" spans="1:2" ht="12.75">
      <c r="A1" s="82" t="s">
        <v>20</v>
      </c>
      <c r="B1" s="82"/>
    </row>
    <row r="2" spans="1:2" ht="13.5" thickBot="1">
      <c r="A2" s="83"/>
      <c r="B2" s="83"/>
    </row>
    <row r="3" spans="1:2" ht="12.75">
      <c r="A3" s="4" t="s">
        <v>18</v>
      </c>
      <c r="B3" s="7" t="s">
        <v>19</v>
      </c>
    </row>
    <row r="4" spans="1:2" ht="12.75">
      <c r="A4" s="1">
        <v>0</v>
      </c>
      <c r="B4" s="2">
        <v>0</v>
      </c>
    </row>
    <row r="5" spans="1:2" ht="12.75">
      <c r="A5" s="1">
        <v>100</v>
      </c>
      <c r="B5" s="2">
        <v>0.143</v>
      </c>
    </row>
    <row r="6" spans="1:2" ht="12.75">
      <c r="A6" s="1">
        <v>200</v>
      </c>
      <c r="B6" s="2">
        <v>0.279</v>
      </c>
    </row>
    <row r="7" spans="1:2" ht="12.75">
      <c r="A7" s="1">
        <v>300</v>
      </c>
      <c r="B7" s="2">
        <v>0.407</v>
      </c>
    </row>
    <row r="8" spans="1:2" ht="12.75">
      <c r="A8" s="1">
        <v>400</v>
      </c>
      <c r="B8" s="2">
        <v>0.529</v>
      </c>
    </row>
    <row r="9" spans="1:2" ht="12.75">
      <c r="A9" s="1">
        <v>500</v>
      </c>
      <c r="B9" s="2">
        <v>0.644</v>
      </c>
    </row>
    <row r="10" spans="1:2" ht="12.75">
      <c r="A10" s="1">
        <v>600</v>
      </c>
      <c r="B10" s="2">
        <v>0.751</v>
      </c>
    </row>
    <row r="11" spans="1:2" ht="12.75">
      <c r="A11" s="1">
        <v>700</v>
      </c>
      <c r="B11" s="2">
        <v>0.852</v>
      </c>
    </row>
    <row r="12" spans="1:2" ht="12.75">
      <c r="A12" s="1">
        <v>800</v>
      </c>
      <c r="B12" s="2">
        <v>0.945</v>
      </c>
    </row>
    <row r="13" spans="1:2" ht="12.75">
      <c r="A13" s="1">
        <v>900</v>
      </c>
      <c r="B13" s="2">
        <v>1.032</v>
      </c>
    </row>
    <row r="14" spans="1:2" ht="12.75">
      <c r="A14" s="1">
        <v>1000</v>
      </c>
      <c r="B14" s="2">
        <v>1.111</v>
      </c>
    </row>
    <row r="15" spans="1:2" ht="12.75">
      <c r="A15" s="1">
        <v>1100</v>
      </c>
      <c r="B15" s="2">
        <v>1.183</v>
      </c>
    </row>
    <row r="16" spans="1:2" ht="12.75">
      <c r="A16" s="1">
        <v>1200</v>
      </c>
      <c r="B16" s="2">
        <v>1.248</v>
      </c>
    </row>
    <row r="17" spans="1:2" ht="12.75">
      <c r="A17" s="1">
        <v>1300</v>
      </c>
      <c r="B17" s="2">
        <v>1.307</v>
      </c>
    </row>
    <row r="18" spans="1:2" ht="12.75">
      <c r="A18" s="1">
        <v>1400</v>
      </c>
      <c r="B18" s="2">
        <v>1.358</v>
      </c>
    </row>
    <row r="19" spans="1:2" ht="12.75">
      <c r="A19" s="1">
        <v>1500</v>
      </c>
      <c r="B19" s="2">
        <v>1.402</v>
      </c>
    </row>
    <row r="20" spans="1:2" ht="12.75">
      <c r="A20" s="1">
        <v>1600</v>
      </c>
      <c r="B20" s="2">
        <v>1.439</v>
      </c>
    </row>
    <row r="21" spans="1:2" ht="12.75">
      <c r="A21" s="1">
        <v>1700</v>
      </c>
      <c r="B21" s="2">
        <v>1.469</v>
      </c>
    </row>
    <row r="22" spans="1:2" ht="12.75">
      <c r="A22" s="1">
        <v>1800</v>
      </c>
      <c r="B22" s="2">
        <v>1.491</v>
      </c>
    </row>
    <row r="23" spans="1:2" ht="12.75">
      <c r="A23" s="1">
        <v>1900</v>
      </c>
      <c r="B23" s="2">
        <v>1.507</v>
      </c>
    </row>
    <row r="24" spans="1:2" ht="12.75">
      <c r="A24" s="1">
        <v>2000</v>
      </c>
      <c r="B24" s="2">
        <v>1.516</v>
      </c>
    </row>
    <row r="25" spans="1:2" ht="12.75">
      <c r="A25" s="1">
        <v>2100</v>
      </c>
      <c r="B25" s="2">
        <v>1.518</v>
      </c>
    </row>
    <row r="26" spans="1:2" ht="12.75">
      <c r="A26" s="1">
        <v>2200</v>
      </c>
      <c r="B26" s="2">
        <v>1.512</v>
      </c>
    </row>
    <row r="27" spans="1:2" ht="12.75">
      <c r="A27" s="1">
        <v>2300</v>
      </c>
      <c r="B27" s="2">
        <v>1.5</v>
      </c>
    </row>
    <row r="28" spans="1:2" ht="12.75">
      <c r="A28" s="1">
        <v>2400</v>
      </c>
      <c r="B28" s="2">
        <v>1.481</v>
      </c>
    </row>
    <row r="29" spans="1:2" ht="12.75">
      <c r="A29" s="1">
        <v>2500</v>
      </c>
      <c r="B29" s="2">
        <v>1.454</v>
      </c>
    </row>
    <row r="30" spans="1:2" ht="12.75">
      <c r="A30" s="1">
        <v>2600</v>
      </c>
      <c r="B30" s="2">
        <v>1.42</v>
      </c>
    </row>
    <row r="31" spans="1:2" ht="12.75">
      <c r="A31" s="1">
        <v>2700</v>
      </c>
      <c r="B31" s="2">
        <v>1.38</v>
      </c>
    </row>
    <row r="32" spans="1:2" ht="12.75">
      <c r="A32" s="1">
        <v>2800</v>
      </c>
      <c r="B32" s="2">
        <v>1.332</v>
      </c>
    </row>
    <row r="33" spans="1:2" ht="12.75">
      <c r="A33" s="1">
        <v>2900</v>
      </c>
      <c r="B33" s="2">
        <v>1.278</v>
      </c>
    </row>
    <row r="34" spans="1:2" ht="12.75">
      <c r="A34" s="1">
        <v>3000</v>
      </c>
      <c r="B34" s="2">
        <v>1.216</v>
      </c>
    </row>
    <row r="35" spans="1:2" ht="12.75">
      <c r="A35" s="1">
        <v>3100</v>
      </c>
      <c r="B35" s="2">
        <v>1.147</v>
      </c>
    </row>
    <row r="36" spans="1:2" ht="12.75">
      <c r="A36" s="1">
        <v>3200</v>
      </c>
      <c r="B36" s="2">
        <v>1.071</v>
      </c>
    </row>
    <row r="37" spans="1:2" ht="12.75">
      <c r="A37" s="1">
        <v>3300</v>
      </c>
      <c r="B37" s="2">
        <v>0.988</v>
      </c>
    </row>
    <row r="38" spans="1:2" ht="12.75">
      <c r="A38" s="1">
        <v>3400</v>
      </c>
      <c r="B38" s="2">
        <v>0.898</v>
      </c>
    </row>
    <row r="39" spans="1:2" ht="12.75">
      <c r="A39" s="1">
        <v>3500</v>
      </c>
      <c r="B39" s="2">
        <v>0.801</v>
      </c>
    </row>
    <row r="40" spans="1:2" ht="12.75">
      <c r="A40" s="1">
        <v>3600</v>
      </c>
      <c r="B40" s="2">
        <v>0.697</v>
      </c>
    </row>
    <row r="41" spans="1:2" ht="12.75">
      <c r="A41" s="1">
        <v>3700</v>
      </c>
      <c r="B41" s="2">
        <v>0.586</v>
      </c>
    </row>
    <row r="42" spans="1:2" ht="12.75">
      <c r="A42" s="1">
        <v>3800</v>
      </c>
      <c r="B42" s="2">
        <v>0.468</v>
      </c>
    </row>
    <row r="43" spans="1:2" ht="12.75">
      <c r="A43" s="1">
        <v>3900</v>
      </c>
      <c r="B43" s="2">
        <v>0.343</v>
      </c>
    </row>
    <row r="44" spans="1:2" ht="12.75">
      <c r="A44" s="1">
        <v>4000</v>
      </c>
      <c r="B44" s="2">
        <v>0.211</v>
      </c>
    </row>
    <row r="45" spans="1:2" ht="12.75">
      <c r="A45" s="1">
        <v>4100</v>
      </c>
      <c r="B45" s="2">
        <v>0.072</v>
      </c>
    </row>
    <row r="46" spans="1:2" ht="12.75">
      <c r="A46" s="1">
        <v>4200</v>
      </c>
      <c r="B46" s="2">
        <v>-0.074</v>
      </c>
    </row>
    <row r="47" spans="1:2" ht="12.75">
      <c r="A47" s="1">
        <v>4300</v>
      </c>
      <c r="B47" s="2">
        <v>-0.228</v>
      </c>
    </row>
    <row r="48" spans="1:2" ht="12.75">
      <c r="A48" s="1">
        <v>4400</v>
      </c>
      <c r="B48" s="2">
        <v>-0.388</v>
      </c>
    </row>
    <row r="49" spans="1:2" ht="12.75">
      <c r="A49" s="1">
        <v>4500</v>
      </c>
      <c r="B49" s="2">
        <v>-0.555</v>
      </c>
    </row>
    <row r="50" spans="1:2" ht="12.75">
      <c r="A50" s="1">
        <v>4600</v>
      </c>
      <c r="B50" s="2">
        <v>-0.729</v>
      </c>
    </row>
    <row r="51" spans="1:2" ht="12.75">
      <c r="A51" s="1">
        <v>4700</v>
      </c>
      <c r="B51" s="2">
        <v>-0.911</v>
      </c>
    </row>
    <row r="52" spans="1:2" ht="12.75">
      <c r="A52" s="1">
        <v>4800</v>
      </c>
      <c r="B52" s="2">
        <v>-1.099</v>
      </c>
    </row>
    <row r="53" spans="1:2" ht="12.75">
      <c r="A53" s="1">
        <v>4900</v>
      </c>
      <c r="B53" s="2">
        <v>-1.295</v>
      </c>
    </row>
    <row r="54" spans="1:2" ht="12.75">
      <c r="A54" s="1">
        <v>5000</v>
      </c>
      <c r="B54" s="2">
        <v>-1.497</v>
      </c>
    </row>
    <row r="55" spans="1:2" ht="12.75">
      <c r="A55" s="1">
        <v>5100</v>
      </c>
      <c r="B55" s="2">
        <v>-1.707</v>
      </c>
    </row>
    <row r="56" spans="1:2" ht="12.75">
      <c r="A56" s="1">
        <v>5200</v>
      </c>
      <c r="B56" s="2">
        <v>-1.923</v>
      </c>
    </row>
    <row r="57" spans="1:2" ht="12.75">
      <c r="A57" s="1">
        <v>5300</v>
      </c>
      <c r="B57" s="2">
        <v>-2.147</v>
      </c>
    </row>
    <row r="58" spans="1:2" ht="12.75">
      <c r="A58" s="1">
        <v>5400</v>
      </c>
      <c r="B58" s="2">
        <v>-2.377</v>
      </c>
    </row>
    <row r="59" spans="1:2" ht="12.75">
      <c r="A59" s="1">
        <v>5500</v>
      </c>
      <c r="B59" s="2">
        <v>-2.615</v>
      </c>
    </row>
    <row r="60" spans="1:2" ht="12.75">
      <c r="A60" s="1">
        <v>5600</v>
      </c>
      <c r="B60" s="2">
        <v>-2.859</v>
      </c>
    </row>
    <row r="61" spans="1:2" ht="12.75">
      <c r="A61" s="1">
        <v>5700</v>
      </c>
      <c r="B61" s="2">
        <v>-3.111</v>
      </c>
    </row>
    <row r="62" spans="1:2" ht="12.75">
      <c r="A62" s="1">
        <v>5800</v>
      </c>
      <c r="B62" s="2">
        <v>-3.37</v>
      </c>
    </row>
    <row r="63" spans="1:2" ht="12.75">
      <c r="A63" s="1">
        <v>5900</v>
      </c>
      <c r="B63" s="2">
        <v>-3.635</v>
      </c>
    </row>
    <row r="64" spans="1:2" ht="12.75">
      <c r="A64" s="1">
        <v>6000</v>
      </c>
      <c r="B64" s="2">
        <v>-3.908</v>
      </c>
    </row>
    <row r="65" spans="1:2" ht="12.75">
      <c r="A65" s="1">
        <v>6100</v>
      </c>
      <c r="B65" s="2">
        <v>-4.188</v>
      </c>
    </row>
    <row r="66" spans="1:2" ht="12.75">
      <c r="A66" s="1">
        <v>6200</v>
      </c>
      <c r="B66" s="2">
        <v>-4.475</v>
      </c>
    </row>
    <row r="67" spans="1:2" ht="13.5" thickBot="1">
      <c r="A67" s="3">
        <v>6300</v>
      </c>
      <c r="B67" s="6">
        <v>-4.768</v>
      </c>
    </row>
  </sheetData>
  <sheetProtection sheet="1" objects="1" scenarios="1"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75"/>
  <sheetViews>
    <sheetView zoomScale="85" zoomScaleNormal="85" workbookViewId="0" topLeftCell="A1">
      <selection activeCell="D5" sqref="D5"/>
    </sheetView>
  </sheetViews>
  <sheetFormatPr defaultColWidth="9.140625" defaultRowHeight="12.75"/>
  <cols>
    <col min="1" max="1" width="7.57421875" style="5" customWidth="1"/>
    <col min="2" max="2" width="11.140625" style="5" customWidth="1"/>
    <col min="3" max="3" width="15.7109375" style="5" customWidth="1"/>
    <col min="4" max="16384" width="9.140625" style="5" customWidth="1"/>
  </cols>
  <sheetData>
    <row r="1" spans="1:3" ht="12.75">
      <c r="A1" s="84" t="s">
        <v>16</v>
      </c>
      <c r="B1" s="84"/>
      <c r="C1" s="84"/>
    </row>
    <row r="2" spans="1:3" ht="12.75">
      <c r="A2" s="84"/>
      <c r="B2" s="84"/>
      <c r="C2" s="84"/>
    </row>
    <row r="3" spans="1:3" ht="12.75">
      <c r="A3" s="85" t="s">
        <v>3</v>
      </c>
      <c r="B3" s="85" t="s">
        <v>21</v>
      </c>
      <c r="C3" s="85" t="s">
        <v>17</v>
      </c>
    </row>
    <row r="4" spans="1:3" ht="12.75">
      <c r="A4" s="85"/>
      <c r="B4" s="85"/>
      <c r="C4" s="85"/>
    </row>
    <row r="5" spans="1:3" ht="12.75">
      <c r="A5" s="5">
        <v>0</v>
      </c>
      <c r="B5" s="5">
        <v>0</v>
      </c>
      <c r="C5" s="5">
        <v>1.02272</v>
      </c>
    </row>
    <row r="6" spans="1:3" ht="12.75">
      <c r="A6" s="5">
        <v>100</v>
      </c>
      <c r="B6" s="5">
        <v>102.27</v>
      </c>
      <c r="C6" s="5">
        <v>1.02265</v>
      </c>
    </row>
    <row r="7" spans="1:3" ht="12.75">
      <c r="A7" s="5">
        <v>200</v>
      </c>
      <c r="B7" s="5">
        <v>204.54</v>
      </c>
      <c r="C7" s="5">
        <v>1.02259</v>
      </c>
    </row>
    <row r="8" spans="1:3" ht="12.75">
      <c r="A8" s="5">
        <v>300</v>
      </c>
      <c r="B8" s="5">
        <v>306.8</v>
      </c>
      <c r="C8" s="5">
        <v>1.02254</v>
      </c>
    </row>
    <row r="9" spans="1:3" ht="12.75">
      <c r="A9" s="5">
        <v>400</v>
      </c>
      <c r="B9" s="5">
        <v>409.05</v>
      </c>
      <c r="C9" s="5">
        <v>1.0225</v>
      </c>
    </row>
    <row r="10" spans="1:3" ht="12.75">
      <c r="A10" s="5">
        <v>500</v>
      </c>
      <c r="B10" s="5">
        <v>511.3</v>
      </c>
      <c r="C10" s="5">
        <v>1.02248</v>
      </c>
    </row>
    <row r="11" spans="1:3" ht="12.75">
      <c r="A11" s="5">
        <v>600</v>
      </c>
      <c r="B11" s="5">
        <v>613.55</v>
      </c>
      <c r="C11" s="5">
        <v>1.02246</v>
      </c>
    </row>
    <row r="12" spans="1:3" ht="12.75">
      <c r="A12" s="5">
        <v>700</v>
      </c>
      <c r="B12" s="5">
        <v>715.8</v>
      </c>
      <c r="C12" s="5">
        <v>1.02246</v>
      </c>
    </row>
    <row r="13" spans="1:3" ht="12.75">
      <c r="A13" s="5">
        <v>800</v>
      </c>
      <c r="B13" s="5">
        <v>818.04</v>
      </c>
      <c r="C13" s="5">
        <v>1.02246</v>
      </c>
    </row>
    <row r="14" spans="1:3" ht="12.75">
      <c r="A14" s="5">
        <v>900</v>
      </c>
      <c r="B14" s="5">
        <v>920.29</v>
      </c>
      <c r="C14" s="5">
        <v>1.02247</v>
      </c>
    </row>
    <row r="15" spans="1:3" ht="12.75">
      <c r="A15" s="5">
        <v>1000</v>
      </c>
      <c r="B15" s="5">
        <v>1022.53</v>
      </c>
      <c r="C15" s="5">
        <v>1.0225</v>
      </c>
    </row>
    <row r="16" spans="1:3" ht="12.75">
      <c r="A16" s="5">
        <v>1100</v>
      </c>
      <c r="B16" s="5">
        <v>1124.78</v>
      </c>
      <c r="C16" s="5">
        <v>1.02253</v>
      </c>
    </row>
    <row r="17" spans="1:3" ht="12.75">
      <c r="A17" s="5">
        <v>1200</v>
      </c>
      <c r="B17" s="5">
        <v>1227.04</v>
      </c>
      <c r="C17" s="5">
        <v>1.02257</v>
      </c>
    </row>
    <row r="18" spans="1:3" ht="12.75">
      <c r="A18" s="5">
        <v>1300</v>
      </c>
      <c r="B18" s="5">
        <v>1329.29</v>
      </c>
      <c r="C18" s="5">
        <v>1.02262</v>
      </c>
    </row>
    <row r="19" spans="1:3" ht="12.75">
      <c r="A19" s="5">
        <v>1400</v>
      </c>
      <c r="B19" s="5">
        <v>1431.56</v>
      </c>
      <c r="C19" s="5">
        <v>1.02267</v>
      </c>
    </row>
    <row r="20" spans="1:3" ht="12.75">
      <c r="A20" s="5">
        <v>1500</v>
      </c>
      <c r="B20" s="5">
        <v>1533.82</v>
      </c>
      <c r="C20" s="5">
        <v>1.02273</v>
      </c>
    </row>
    <row r="21" spans="1:3" ht="12.75">
      <c r="A21" s="5">
        <v>1600</v>
      </c>
      <c r="B21" s="5">
        <v>1636.1</v>
      </c>
      <c r="C21" s="5">
        <v>1.0228</v>
      </c>
    </row>
    <row r="22" spans="1:3" ht="12.75">
      <c r="A22" s="5">
        <v>1700</v>
      </c>
      <c r="B22" s="5">
        <v>1738.38</v>
      </c>
      <c r="C22" s="5">
        <v>1.02288</v>
      </c>
    </row>
    <row r="23" spans="1:3" ht="12.75">
      <c r="A23" s="5">
        <v>1800</v>
      </c>
      <c r="B23" s="5">
        <v>1840.66</v>
      </c>
      <c r="C23" s="5">
        <v>1.02296</v>
      </c>
    </row>
    <row r="24" spans="1:3" ht="12.75">
      <c r="A24" s="5">
        <v>1900</v>
      </c>
      <c r="B24" s="5">
        <v>1942.96</v>
      </c>
      <c r="C24" s="5">
        <v>1.02305</v>
      </c>
    </row>
    <row r="25" spans="1:3" ht="12.75">
      <c r="A25" s="5">
        <v>2000</v>
      </c>
      <c r="B25" s="5">
        <v>2045.26</v>
      </c>
      <c r="C25" s="5">
        <v>1.02314</v>
      </c>
    </row>
    <row r="26" spans="1:3" ht="12.75">
      <c r="A26" s="5">
        <v>2100</v>
      </c>
      <c r="B26" s="5">
        <v>2147.58</v>
      </c>
      <c r="C26" s="5">
        <v>1.02323</v>
      </c>
    </row>
    <row r="27" spans="1:3" ht="12.75">
      <c r="A27" s="5">
        <v>2200</v>
      </c>
      <c r="B27" s="5">
        <v>2249.9</v>
      </c>
      <c r="C27" s="5">
        <v>1.02333</v>
      </c>
    </row>
    <row r="28" spans="1:3" ht="12.75">
      <c r="A28" s="5">
        <v>2300</v>
      </c>
      <c r="B28" s="5">
        <v>2352.24</v>
      </c>
      <c r="C28" s="5">
        <v>1.02344</v>
      </c>
    </row>
    <row r="29" spans="1:3" ht="12.75">
      <c r="A29" s="5">
        <v>2400</v>
      </c>
      <c r="B29" s="5">
        <v>2454.58</v>
      </c>
      <c r="C29" s="5">
        <v>1.02355</v>
      </c>
    </row>
    <row r="30" spans="1:3" ht="12.75">
      <c r="A30" s="5">
        <v>2500</v>
      </c>
      <c r="B30" s="5">
        <v>2556.93</v>
      </c>
      <c r="C30" s="5">
        <v>1.02366</v>
      </c>
    </row>
    <row r="31" spans="1:3" ht="12.75">
      <c r="A31" s="5">
        <v>2600</v>
      </c>
      <c r="B31" s="5">
        <v>2659.3</v>
      </c>
      <c r="C31" s="5">
        <v>1.02377</v>
      </c>
    </row>
    <row r="32" spans="1:3" ht="12.75">
      <c r="A32" s="5">
        <v>2700</v>
      </c>
      <c r="B32" s="5">
        <v>2761.68</v>
      </c>
      <c r="C32" s="5">
        <v>1.02389</v>
      </c>
    </row>
    <row r="33" spans="1:3" ht="12.75">
      <c r="A33" s="5">
        <v>2800</v>
      </c>
      <c r="B33" s="5">
        <v>2864.07</v>
      </c>
      <c r="C33" s="5">
        <v>1.024</v>
      </c>
    </row>
    <row r="34" spans="1:3" ht="12.75">
      <c r="A34" s="5">
        <v>2900</v>
      </c>
      <c r="B34" s="5">
        <v>2966.47</v>
      </c>
      <c r="C34" s="5">
        <v>1.02412</v>
      </c>
    </row>
    <row r="35" spans="1:3" ht="12.75">
      <c r="A35" s="5">
        <v>3000</v>
      </c>
      <c r="B35" s="5">
        <v>3068.88</v>
      </c>
      <c r="C35" s="5">
        <v>1.02424</v>
      </c>
    </row>
    <row r="36" spans="1:3" ht="12.75">
      <c r="A36" s="5">
        <v>3100</v>
      </c>
      <c r="B36" s="5">
        <v>3171.3</v>
      </c>
      <c r="C36" s="5">
        <v>1.02436</v>
      </c>
    </row>
    <row r="37" spans="1:3" ht="12.75">
      <c r="A37" s="5">
        <v>3200</v>
      </c>
      <c r="B37" s="5">
        <v>3273.74</v>
      </c>
      <c r="C37" s="5">
        <v>1.02448</v>
      </c>
    </row>
    <row r="38" spans="1:3" ht="12.75">
      <c r="A38" s="5">
        <v>3300</v>
      </c>
      <c r="B38" s="5">
        <v>3376.19</v>
      </c>
      <c r="C38" s="5">
        <v>1.0246</v>
      </c>
    </row>
    <row r="39" spans="1:3" ht="12.75">
      <c r="A39" s="5">
        <v>3400</v>
      </c>
      <c r="B39" s="5">
        <v>3478.64</v>
      </c>
      <c r="C39" s="5">
        <v>1.02471</v>
      </c>
    </row>
    <row r="40" spans="1:3" ht="12.75">
      <c r="A40" s="5">
        <v>3500</v>
      </c>
      <c r="B40" s="5">
        <v>3581.12</v>
      </c>
      <c r="C40" s="5">
        <v>1.02483</v>
      </c>
    </row>
    <row r="41" spans="1:3" ht="12.75">
      <c r="A41" s="5">
        <v>3600</v>
      </c>
      <c r="B41" s="5">
        <v>3683.6</v>
      </c>
      <c r="C41" s="5">
        <v>1.02494</v>
      </c>
    </row>
    <row r="42" spans="1:3" ht="12.75">
      <c r="A42" s="5">
        <v>3700</v>
      </c>
      <c r="B42" s="5">
        <v>3786.09</v>
      </c>
      <c r="C42" s="5">
        <v>1.02505</v>
      </c>
    </row>
    <row r="43" spans="1:3" ht="12.75">
      <c r="A43" s="5">
        <v>3800</v>
      </c>
      <c r="B43" s="5">
        <v>3888.6</v>
      </c>
      <c r="C43" s="5">
        <v>1.02516</v>
      </c>
    </row>
    <row r="44" spans="1:3" ht="12.75">
      <c r="A44" s="5">
        <v>3900</v>
      </c>
      <c r="B44" s="5">
        <v>3991.11</v>
      </c>
      <c r="C44" s="5">
        <v>1.02527</v>
      </c>
    </row>
    <row r="45" spans="1:3" ht="12.75">
      <c r="A45" s="5">
        <v>4000</v>
      </c>
      <c r="B45" s="5">
        <v>4093.64</v>
      </c>
      <c r="C45" s="5">
        <v>1.02537</v>
      </c>
    </row>
    <row r="46" spans="1:3" ht="12.75">
      <c r="A46" s="5">
        <v>4100</v>
      </c>
      <c r="B46" s="5">
        <v>4196.18</v>
      </c>
      <c r="C46" s="5">
        <v>1.02547</v>
      </c>
    </row>
    <row r="47" spans="1:3" ht="12.75">
      <c r="A47" s="5">
        <v>4200</v>
      </c>
      <c r="B47" s="5">
        <v>4298.72</v>
      </c>
      <c r="C47" s="5">
        <v>1.02556</v>
      </c>
    </row>
    <row r="48" spans="1:3" ht="12.75">
      <c r="A48" s="5">
        <v>4300</v>
      </c>
      <c r="B48" s="5">
        <v>4401.28</v>
      </c>
      <c r="C48" s="5">
        <v>1.02564</v>
      </c>
    </row>
    <row r="49" spans="1:3" ht="12.75">
      <c r="A49" s="5">
        <v>4400</v>
      </c>
      <c r="B49" s="5">
        <v>4503.84</v>
      </c>
      <c r="C49" s="5">
        <v>1.02573</v>
      </c>
    </row>
    <row r="50" spans="1:3" ht="12.75">
      <c r="A50" s="5">
        <v>4500</v>
      </c>
      <c r="B50" s="5">
        <v>4606.42</v>
      </c>
      <c r="C50" s="5">
        <v>1.0258</v>
      </c>
    </row>
    <row r="51" spans="1:3" ht="12.75">
      <c r="A51" s="5">
        <v>4600</v>
      </c>
      <c r="B51" s="5">
        <v>4709</v>
      </c>
      <c r="C51" s="5">
        <v>1.02587</v>
      </c>
    </row>
    <row r="52" spans="1:3" ht="12.75">
      <c r="A52" s="5">
        <v>4700</v>
      </c>
      <c r="B52" s="5">
        <v>4811.58</v>
      </c>
      <c r="C52" s="5">
        <v>1.02593</v>
      </c>
    </row>
    <row r="53" spans="1:3" ht="12.75">
      <c r="A53" s="5">
        <v>4800</v>
      </c>
      <c r="B53" s="5">
        <v>4914.18</v>
      </c>
      <c r="C53" s="5">
        <v>1.02598</v>
      </c>
    </row>
    <row r="54" spans="1:3" ht="12.75">
      <c r="A54" s="5">
        <v>4900</v>
      </c>
      <c r="B54" s="5">
        <v>5016.78</v>
      </c>
      <c r="C54" s="5">
        <v>1.02603</v>
      </c>
    </row>
    <row r="55" spans="1:3" ht="12.75">
      <c r="A55" s="5">
        <v>5000</v>
      </c>
      <c r="B55" s="5">
        <v>5119.38</v>
      </c>
      <c r="C55" s="5">
        <v>1.02607</v>
      </c>
    </row>
    <row r="56" spans="1:3" ht="12.75">
      <c r="A56" s="5">
        <v>5100</v>
      </c>
      <c r="B56" s="5">
        <v>5221.98</v>
      </c>
      <c r="C56" s="5">
        <v>1.02609</v>
      </c>
    </row>
    <row r="57" spans="1:3" ht="12.75">
      <c r="A57" s="5">
        <v>5200</v>
      </c>
      <c r="B57" s="5">
        <v>5324.59</v>
      </c>
      <c r="C57" s="5">
        <v>1.02611</v>
      </c>
    </row>
    <row r="58" spans="1:3" ht="12.75">
      <c r="A58" s="5">
        <v>5300</v>
      </c>
      <c r="B58" s="5">
        <v>5427.21</v>
      </c>
      <c r="C58" s="5">
        <v>1.02612</v>
      </c>
    </row>
    <row r="59" spans="1:3" ht="12.75">
      <c r="A59" s="5">
        <v>5400</v>
      </c>
      <c r="B59" s="5">
        <v>5529.82</v>
      </c>
      <c r="C59" s="5">
        <v>1.02612</v>
      </c>
    </row>
    <row r="60" spans="1:3" ht="12.75">
      <c r="A60" s="5">
        <v>5500</v>
      </c>
      <c r="B60" s="5">
        <v>5632.43</v>
      </c>
      <c r="C60" s="5">
        <v>1.0261</v>
      </c>
    </row>
    <row r="61" spans="1:3" ht="12.75">
      <c r="A61" s="5">
        <v>5600</v>
      </c>
      <c r="B61" s="5">
        <v>5735.04</v>
      </c>
      <c r="C61" s="5">
        <v>1.02608</v>
      </c>
    </row>
    <row r="62" spans="1:3" ht="12.75">
      <c r="A62" s="5">
        <v>5700</v>
      </c>
      <c r="B62" s="5">
        <v>5837.65</v>
      </c>
      <c r="C62" s="5">
        <v>1.02604</v>
      </c>
    </row>
    <row r="63" spans="1:3" ht="12.75">
      <c r="A63" s="5">
        <v>5800</v>
      </c>
      <c r="B63" s="5">
        <v>5940.25</v>
      </c>
      <c r="C63" s="5">
        <v>1.02599</v>
      </c>
    </row>
    <row r="64" spans="1:3" ht="12.75">
      <c r="A64" s="5">
        <v>5900</v>
      </c>
      <c r="B64" s="5">
        <v>6042.85</v>
      </c>
      <c r="C64" s="5">
        <v>1.02592</v>
      </c>
    </row>
    <row r="65" spans="1:3" ht="12.75">
      <c r="A65" s="5">
        <v>6000</v>
      </c>
      <c r="B65" s="5">
        <v>6145.44</v>
      </c>
      <c r="C65" s="5">
        <v>1.02585</v>
      </c>
    </row>
    <row r="66" spans="1:3" ht="12.75">
      <c r="A66" s="5">
        <v>6100</v>
      </c>
      <c r="B66" s="5">
        <v>6248.03</v>
      </c>
      <c r="C66" s="5">
        <v>1.02575</v>
      </c>
    </row>
    <row r="67" spans="1:3" ht="12.75">
      <c r="A67" s="5">
        <v>6200</v>
      </c>
      <c r="B67" s="5">
        <v>6350.6</v>
      </c>
      <c r="C67" s="5">
        <v>1.02565</v>
      </c>
    </row>
    <row r="68" spans="1:3" ht="12.75">
      <c r="A68" s="5">
        <v>6300</v>
      </c>
      <c r="B68" s="5">
        <v>6453.17</v>
      </c>
      <c r="C68" s="5">
        <v>1.02553</v>
      </c>
    </row>
    <row r="69" spans="1:3" ht="12.75">
      <c r="A69" s="5">
        <v>6400</v>
      </c>
      <c r="B69" s="5">
        <v>6555.72</v>
      </c>
      <c r="C69" s="5">
        <v>1.02539</v>
      </c>
    </row>
    <row r="70" spans="1:3" ht="12.75">
      <c r="A70" s="5">
        <v>6500</v>
      </c>
      <c r="B70" s="5">
        <v>6658.26</v>
      </c>
      <c r="C70" s="5">
        <v>1.02523</v>
      </c>
    </row>
    <row r="71" spans="1:3" ht="12.75">
      <c r="A71" s="5">
        <v>6600</v>
      </c>
      <c r="B71" s="5">
        <v>6760.78</v>
      </c>
      <c r="C71" s="5">
        <v>1.02506</v>
      </c>
    </row>
    <row r="72" spans="1:3" ht="12.75">
      <c r="A72" s="5">
        <v>6700</v>
      </c>
      <c r="B72" s="5">
        <v>6863.29</v>
      </c>
      <c r="C72" s="5">
        <v>1.02487</v>
      </c>
    </row>
    <row r="73" spans="1:3" ht="12.75">
      <c r="A73" s="5">
        <v>6800</v>
      </c>
      <c r="B73" s="5">
        <v>6965.77</v>
      </c>
      <c r="C73" s="5">
        <v>1.02467</v>
      </c>
    </row>
    <row r="74" spans="1:3" ht="12.75">
      <c r="A74" s="5">
        <v>6900</v>
      </c>
      <c r="B74" s="5">
        <v>7068.24</v>
      </c>
      <c r="C74" s="5">
        <v>1.02444</v>
      </c>
    </row>
    <row r="75" spans="1:2" ht="12.75">
      <c r="A75" s="5">
        <v>7000</v>
      </c>
      <c r="B75" s="5">
        <v>7170.68</v>
      </c>
    </row>
  </sheetData>
  <sheetProtection sheet="1" objects="1" scenarios="1"/>
  <mergeCells count="4">
    <mergeCell ref="A1:C2"/>
    <mergeCell ref="A3:A4"/>
    <mergeCell ref="B3:B4"/>
    <mergeCell ref="C3:C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23"/>
  <sheetViews>
    <sheetView workbookViewId="0" topLeftCell="A1">
      <selection activeCell="A1" sqref="A1:C1"/>
    </sheetView>
  </sheetViews>
  <sheetFormatPr defaultColWidth="9.140625" defaultRowHeight="12.75"/>
  <cols>
    <col min="1" max="1" width="27.00390625" style="5" customWidth="1"/>
    <col min="2" max="2" width="10.140625" style="5" bestFit="1" customWidth="1"/>
    <col min="3" max="16384" width="9.140625" style="5" customWidth="1"/>
  </cols>
  <sheetData>
    <row r="1" spans="1:3" ht="12.75">
      <c r="A1" s="85" t="s">
        <v>0</v>
      </c>
      <c r="B1" s="85"/>
      <c r="C1" s="85"/>
    </row>
    <row r="2" spans="1:2" ht="12.75">
      <c r="A2" s="13" t="s">
        <v>121</v>
      </c>
      <c r="B2" t="s">
        <v>46</v>
      </c>
    </row>
    <row r="3" spans="1:2" ht="12.75">
      <c r="A3" s="5" t="s">
        <v>5</v>
      </c>
      <c r="B3">
        <v>46.88333</v>
      </c>
    </row>
    <row r="4" spans="1:2" ht="12.75">
      <c r="A4" s="13" t="s">
        <v>122</v>
      </c>
      <c r="B4">
        <v>-117.3667</v>
      </c>
    </row>
    <row r="5" spans="1:2" ht="12.75">
      <c r="A5" s="13" t="s">
        <v>123</v>
      </c>
      <c r="B5">
        <v>579.62</v>
      </c>
    </row>
    <row r="6" spans="1:2" ht="12.75">
      <c r="A6" s="10" t="s">
        <v>24</v>
      </c>
      <c r="B6" s="26">
        <v>980565.46</v>
      </c>
    </row>
    <row r="7" spans="1:2" ht="12.75">
      <c r="A7" s="86" t="s">
        <v>23</v>
      </c>
      <c r="B7" s="86"/>
    </row>
    <row r="8" spans="1:2" ht="12.75">
      <c r="A8" s="13" t="s">
        <v>124</v>
      </c>
      <c r="B8" s="27">
        <v>38738</v>
      </c>
    </row>
    <row r="9" spans="1:2" ht="12.75">
      <c r="A9" s="13" t="s">
        <v>125</v>
      </c>
      <c r="B9" s="28">
        <v>0.7145833333333332</v>
      </c>
    </row>
    <row r="10" spans="1:2" ht="14.25">
      <c r="A10" s="5" t="s">
        <v>126</v>
      </c>
      <c r="B10">
        <v>4040</v>
      </c>
    </row>
    <row r="11" spans="1:2" ht="14.25">
      <c r="A11" s="5" t="s">
        <v>127</v>
      </c>
      <c r="B11" s="29">
        <f>(B10-VLOOKUP(B10,'Calib. Table'!$A$5:$C$75,1))*(VLOOKUP(B10,'Calib. Table'!$A$5:$C$75,3))+VLOOKUP(B10,'Calib. Table'!$A$5:$C$75,2)</f>
        <v>4134.6548</v>
      </c>
    </row>
    <row r="12" spans="1:2" ht="14.25">
      <c r="A12" s="5" t="s">
        <v>128</v>
      </c>
      <c r="B12">
        <v>29.051</v>
      </c>
    </row>
    <row r="13" spans="1:2" ht="14.25">
      <c r="A13" s="5" t="s">
        <v>129</v>
      </c>
      <c r="B13">
        <v>0.098</v>
      </c>
    </row>
    <row r="14" spans="1:2" ht="14.25">
      <c r="A14" s="5" t="s">
        <v>130</v>
      </c>
      <c r="B14">
        <v>-5.89</v>
      </c>
    </row>
    <row r="15" spans="1:2" ht="14.25">
      <c r="A15" s="5" t="s">
        <v>131</v>
      </c>
      <c r="B15" s="30">
        <v>0.018</v>
      </c>
    </row>
    <row r="16" spans="1:2" ht="12.75">
      <c r="A16" s="5" t="s">
        <v>4</v>
      </c>
      <c r="B16" s="12">
        <f>SUM(B11:B15)</f>
        <v>4157.9318</v>
      </c>
    </row>
    <row r="19" ht="12.75">
      <c r="A19" s="68" t="s">
        <v>132</v>
      </c>
    </row>
    <row r="20" ht="12.75">
      <c r="A20" s="13" t="s">
        <v>25</v>
      </c>
    </row>
    <row r="21" ht="14.25">
      <c r="A21" s="69" t="s">
        <v>133</v>
      </c>
    </row>
    <row r="22" ht="14.25">
      <c r="A22" s="69" t="s">
        <v>134</v>
      </c>
    </row>
    <row r="23" ht="14.25">
      <c r="A23" s="69" t="s">
        <v>135</v>
      </c>
    </row>
  </sheetData>
  <sheetProtection/>
  <mergeCells count="2">
    <mergeCell ref="A1:C1"/>
    <mergeCell ref="A7:B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workbookViewId="0" topLeftCell="A1">
      <selection activeCell="B1" sqref="B1"/>
    </sheetView>
  </sheetViews>
  <sheetFormatPr defaultColWidth="9.140625" defaultRowHeight="12.75"/>
  <cols>
    <col min="2" max="2" width="19.421875" style="0" customWidth="1"/>
    <col min="3" max="3" width="17.7109375" style="0" customWidth="1"/>
    <col min="4" max="4" width="6.00390625" style="0" customWidth="1"/>
    <col min="6" max="6" width="6.28125" style="0" customWidth="1"/>
    <col min="7" max="7" width="4.8515625" style="0" customWidth="1"/>
    <col min="8" max="8" width="30.140625" style="0" customWidth="1"/>
  </cols>
  <sheetData>
    <row r="1" spans="1:4" ht="12.75">
      <c r="A1" s="33" t="s">
        <v>34</v>
      </c>
      <c r="B1" s="34" t="s">
        <v>35</v>
      </c>
      <c r="C1" s="31" t="s">
        <v>33</v>
      </c>
      <c r="D1" s="32">
        <v>1</v>
      </c>
    </row>
    <row r="2" spans="1:2" ht="12.75">
      <c r="A2" s="1">
        <v>1</v>
      </c>
      <c r="B2" s="2" t="s">
        <v>30</v>
      </c>
    </row>
    <row r="3" spans="1:2" ht="12.75">
      <c r="A3" s="1">
        <v>2</v>
      </c>
      <c r="B3" s="2" t="s">
        <v>31</v>
      </c>
    </row>
    <row r="4" spans="1:2" ht="13.5" thickBot="1">
      <c r="A4" s="3">
        <v>3</v>
      </c>
      <c r="B4" s="6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Holom</dc:creator>
  <cp:keywords/>
  <dc:description/>
  <cp:lastModifiedBy>Valerian Bachtadse</cp:lastModifiedBy>
  <dcterms:created xsi:type="dcterms:W3CDTF">2005-12-19T07:52:16Z</dcterms:created>
  <dcterms:modified xsi:type="dcterms:W3CDTF">2011-04-28T12:44:31Z</dcterms:modified>
  <cp:category/>
  <cp:version/>
  <cp:contentType/>
  <cp:contentStatus/>
</cp:coreProperties>
</file>